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2.xml" ContentType="application/vnd.openxmlformats-officedocument.drawing+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harts/chart55.xml" ContentType="application/vnd.openxmlformats-officedocument.drawingml.chart+xml"/>
  <Override PartName="/xl/charts/style55.xml" ContentType="application/vnd.ms-office.chartstyle+xml"/>
  <Override PartName="/xl/charts/colors55.xml" ContentType="application/vnd.ms-office.chartcolorstyle+xml"/>
  <Override PartName="/xl/charts/chart56.xml" ContentType="application/vnd.openxmlformats-officedocument.drawingml.chart+xml"/>
  <Override PartName="/xl/charts/style56.xml" ContentType="application/vnd.ms-office.chartstyle+xml"/>
  <Override PartName="/xl/charts/colors56.xml" ContentType="application/vnd.ms-office.chartcolorstyle+xml"/>
  <Override PartName="/xl/charts/chart57.xml" ContentType="application/vnd.openxmlformats-officedocument.drawingml.chart+xml"/>
  <Override PartName="/xl/charts/style57.xml" ContentType="application/vnd.ms-office.chartstyle+xml"/>
  <Override PartName="/xl/charts/colors57.xml" ContentType="application/vnd.ms-office.chartcolorstyle+xml"/>
  <Override PartName="/xl/charts/chart58.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3.xml" ContentType="application/vnd.openxmlformats-officedocument.drawing+xml"/>
  <Override PartName="/xl/charts/chart59.xml" ContentType="application/vnd.openxmlformats-officedocument.drawingml.chart+xml"/>
  <Override PartName="/xl/charts/style59.xml" ContentType="application/vnd.ms-office.chartstyle+xml"/>
  <Override PartName="/xl/charts/colors59.xml" ContentType="application/vnd.ms-office.chartcolorstyle+xml"/>
  <Override PartName="/xl/charts/chart60.xml" ContentType="application/vnd.openxmlformats-officedocument.drawingml.chart+xml"/>
  <Override PartName="/xl/charts/style60.xml" ContentType="application/vnd.ms-office.chartstyle+xml"/>
  <Override PartName="/xl/charts/colors60.xml" ContentType="application/vnd.ms-office.chartcolorstyle+xml"/>
  <Override PartName="/xl/charts/chart61.xml" ContentType="application/vnd.openxmlformats-officedocument.drawingml.chart+xml"/>
  <Override PartName="/xl/charts/style61.xml" ContentType="application/vnd.ms-office.chartstyle+xml"/>
  <Override PartName="/xl/charts/colors61.xml" ContentType="application/vnd.ms-office.chartcolorstyle+xml"/>
  <Override PartName="/xl/charts/chart62.xml" ContentType="application/vnd.openxmlformats-officedocument.drawingml.chart+xml"/>
  <Override PartName="/xl/charts/style62.xml" ContentType="application/vnd.ms-office.chartstyle+xml"/>
  <Override PartName="/xl/charts/colors62.xml" ContentType="application/vnd.ms-office.chartcolorstyle+xml"/>
  <Override PartName="/xl/charts/chart63.xml" ContentType="application/vnd.openxmlformats-officedocument.drawingml.chart+xml"/>
  <Override PartName="/xl/charts/style63.xml" ContentType="application/vnd.ms-office.chartstyle+xml"/>
  <Override PartName="/xl/charts/colors63.xml" ContentType="application/vnd.ms-office.chartcolorstyle+xml"/>
  <Override PartName="/xl/charts/chart64.xml" ContentType="application/vnd.openxmlformats-officedocument.drawingml.chart+xml"/>
  <Override PartName="/xl/charts/style64.xml" ContentType="application/vnd.ms-office.chartstyle+xml"/>
  <Override PartName="/xl/charts/colors64.xml" ContentType="application/vnd.ms-office.chartcolorstyle+xml"/>
  <Override PartName="/xl/charts/chart65.xml" ContentType="application/vnd.openxmlformats-officedocument.drawingml.chart+xml"/>
  <Override PartName="/xl/charts/style65.xml" ContentType="application/vnd.ms-office.chartstyle+xml"/>
  <Override PartName="/xl/charts/colors65.xml" ContentType="application/vnd.ms-office.chartcolorstyle+xml"/>
  <Override PartName="/xl/charts/chart66.xml" ContentType="application/vnd.openxmlformats-officedocument.drawingml.chart+xml"/>
  <Override PartName="/xl/charts/style66.xml" ContentType="application/vnd.ms-office.chartstyle+xml"/>
  <Override PartName="/xl/charts/colors66.xml" ContentType="application/vnd.ms-office.chartcolorstyle+xml"/>
  <Override PartName="/xl/charts/chart67.xml" ContentType="application/vnd.openxmlformats-officedocument.drawingml.chart+xml"/>
  <Override PartName="/xl/charts/style67.xml" ContentType="application/vnd.ms-office.chartstyle+xml"/>
  <Override PartName="/xl/charts/colors6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codeName="ThisWorkbook" defaultThemeVersion="166925"/>
  <mc:AlternateContent xmlns:mc="http://schemas.openxmlformats.org/markup-compatibility/2006">
    <mc:Choice Requires="x15">
      <x15ac:absPath xmlns:x15ac="http://schemas.microsoft.com/office/spreadsheetml/2010/11/ac" url="C:\Users\aaroman\Desktop\FY21 Profiles and Determinations\"/>
    </mc:Choice>
  </mc:AlternateContent>
  <xr:revisionPtr revIDLastSave="0" documentId="8_{56DA36D4-DD79-4F7D-BF35-03581E1D80DA}" xr6:coauthVersionLast="47" xr6:coauthVersionMax="47" xr10:uidLastSave="{00000000-0000-0000-0000-000000000000}"/>
  <workbookProtection workbookAlgorithmName="SHA-512" workbookHashValue="26dC3mfsxDCRpRcnqs/jUGfEg3ceSMxyjZ8gYIrQw+N0VwOwF6hp5Ie2NiFGlBMGpAiyamNkMVlZ7r1EuDVXXw==" workbookSaltValue="xbJTx/KU26FrMol/qAxNDw==" workbookSpinCount="100000" lockStructure="1"/>
  <bookViews>
    <workbookView xWindow="0" yWindow="0" windowWidth="14400" windowHeight="15600" tabRatio="834" firstSheet="1" activeTab="5" xr2:uid="{00000000-000D-0000-FFFF-FFFF00000000}"/>
  </bookViews>
  <sheets>
    <sheet name="Information" sheetId="7" state="hidden" r:id="rId1"/>
    <sheet name="Profile" sheetId="6" r:id="rId2"/>
    <sheet name="Old Determination" sheetId="1" state="hidden" r:id="rId3"/>
    <sheet name="Old Data" sheetId="4" state="hidden" r:id="rId4"/>
    <sheet name="Proposed Information" sheetId="11" state="hidden" r:id="rId5"/>
    <sheet name="Determination" sheetId="8" r:id="rId6"/>
    <sheet name="Data" sheetId="10" state="hidden" r:id="rId7"/>
  </sheets>
  <externalReferences>
    <externalReference r:id="rId8"/>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 r="E104" i="8"/>
  <c r="C104" i="8"/>
  <c r="C99" i="8"/>
  <c r="C98" i="8"/>
  <c r="B94" i="8"/>
  <c r="C91" i="8"/>
  <c r="C90" i="8"/>
  <c r="B86" i="8"/>
  <c r="C83" i="8"/>
  <c r="C82" i="8"/>
  <c r="B78" i="8"/>
  <c r="C75" i="8"/>
  <c r="C74" i="8"/>
  <c r="B70" i="8"/>
  <c r="C67" i="8"/>
  <c r="C66" i="8"/>
  <c r="B62" i="8"/>
  <c r="C62" i="8" s="1"/>
  <c r="C59" i="8"/>
  <c r="C58" i="8"/>
  <c r="B54" i="8"/>
  <c r="C54" i="8" s="1"/>
  <c r="B46" i="8"/>
  <c r="C46" i="8" s="1"/>
  <c r="B38" i="8"/>
  <c r="C38" i="8" s="1"/>
  <c r="A4" i="8"/>
  <c r="C51" i="8"/>
  <c r="C50" i="8"/>
  <c r="C43" i="8" l="1"/>
  <c r="C42" i="8"/>
  <c r="C35" i="8" l="1"/>
  <c r="C34" i="8"/>
  <c r="B30" i="8"/>
  <c r="B16" i="8"/>
  <c r="B26" i="8"/>
  <c r="B24" i="8"/>
  <c r="B22" i="8"/>
  <c r="B20" i="8"/>
  <c r="B18" i="8"/>
  <c r="B14" i="8"/>
  <c r="B12" i="8"/>
  <c r="B10" i="8"/>
  <c r="D5" i="8"/>
  <c r="C5" i="8"/>
  <c r="A5" i="8"/>
  <c r="C30" i="8" l="1"/>
  <c r="B101" i="8"/>
  <c r="B27" i="8"/>
  <c r="C26" i="8" l="1"/>
  <c r="C22" i="8"/>
  <c r="C70" i="8" l="1"/>
  <c r="C10" i="8"/>
  <c r="C14" i="8"/>
  <c r="C12" i="8"/>
  <c r="C20" i="8"/>
  <c r="C24" i="8"/>
  <c r="C78" i="8"/>
  <c r="C86" i="8"/>
  <c r="C94" i="8"/>
  <c r="C16" i="8"/>
  <c r="C18" i="8"/>
  <c r="B104" i="8" l="1"/>
  <c r="A104" i="8"/>
  <c r="D104" i="8" l="1"/>
  <c r="F104" i="8" s="1"/>
  <c r="G104" i="8" s="1"/>
  <c r="G193" i="6"/>
  <c r="G146" i="6"/>
  <c r="G121" i="6"/>
  <c r="G118" i="6"/>
  <c r="G52" i="6"/>
  <c r="G49" i="6"/>
  <c r="I5" i="6" l="1"/>
  <c r="G5" i="6"/>
  <c r="A5" i="6"/>
  <c r="A4" i="6"/>
  <c r="G197" i="6" l="1"/>
  <c r="G189" i="6"/>
  <c r="G184" i="6"/>
  <c r="G180" i="6"/>
  <c r="G175" i="6"/>
  <c r="G171" i="6"/>
  <c r="G166" i="6"/>
  <c r="G162" i="6"/>
  <c r="G158" i="6"/>
  <c r="G154" i="6"/>
  <c r="G150" i="6"/>
  <c r="G142" i="6"/>
  <c r="G138" i="6"/>
  <c r="G133" i="6"/>
  <c r="G130" i="6"/>
  <c r="G127" i="6"/>
  <c r="G124" i="6"/>
  <c r="G115" i="6"/>
  <c r="G112" i="6"/>
  <c r="G109" i="6"/>
  <c r="G105" i="6"/>
  <c r="G102" i="6"/>
  <c r="G99" i="6"/>
  <c r="G95" i="6"/>
  <c r="G92" i="6"/>
  <c r="G88" i="6"/>
  <c r="G85" i="6"/>
  <c r="G82" i="6"/>
  <c r="G79" i="6"/>
  <c r="G76" i="6"/>
  <c r="G73" i="6"/>
  <c r="G70" i="6"/>
  <c r="G67" i="6"/>
  <c r="G64" i="6"/>
  <c r="G61" i="6"/>
  <c r="G58" i="6"/>
  <c r="G55" i="6"/>
  <c r="G46" i="6"/>
  <c r="G43" i="6"/>
  <c r="G40" i="6"/>
  <c r="G37" i="6"/>
  <c r="G34" i="6"/>
  <c r="G31" i="6"/>
  <c r="G28" i="6"/>
  <c r="G25" i="6"/>
  <c r="G22" i="6"/>
  <c r="G19" i="6"/>
  <c r="G15" i="6"/>
  <c r="G11" i="6"/>
  <c r="C81" i="1" l="1"/>
  <c r="C65" i="1"/>
  <c r="C49" i="1"/>
  <c r="C33" i="1"/>
  <c r="A5" i="1"/>
  <c r="C57" i="1"/>
  <c r="D5" i="1"/>
  <c r="C72" i="1"/>
  <c r="C56" i="1"/>
  <c r="C40" i="1"/>
  <c r="C5" i="1"/>
  <c r="C80" i="1"/>
  <c r="C64" i="1"/>
  <c r="C48" i="1"/>
  <c r="C32" i="1"/>
  <c r="A4" i="1"/>
  <c r="C73" i="1"/>
  <c r="C41" i="1"/>
  <c r="B10" i="1"/>
  <c r="B17" i="1"/>
  <c r="D87" i="1"/>
  <c r="B52" i="1"/>
  <c r="B24" i="1"/>
  <c r="C24" i="1" s="1"/>
  <c r="B15" i="1"/>
  <c r="B76" i="1"/>
  <c r="B44" i="1"/>
  <c r="B22" i="1"/>
  <c r="C22" i="1" s="1"/>
  <c r="B13" i="1"/>
  <c r="C13" i="1" s="1"/>
  <c r="B68" i="1"/>
  <c r="B36" i="1"/>
  <c r="B60" i="1"/>
  <c r="B28" i="1"/>
  <c r="C17" i="1" l="1"/>
  <c r="C18" i="1"/>
  <c r="C11" i="1"/>
  <c r="C10" i="1"/>
  <c r="B25" i="1"/>
  <c r="C68" i="1"/>
  <c r="C20" i="1" l="1"/>
  <c r="C15" i="1"/>
  <c r="C28" i="1"/>
  <c r="I193" i="6" l="1"/>
  <c r="I92" i="6"/>
  <c r="C76" i="1"/>
  <c r="C60" i="1"/>
  <c r="C52" i="1"/>
  <c r="C44" i="1"/>
  <c r="C36" i="1"/>
  <c r="B83" i="1" l="1"/>
  <c r="I109" i="6"/>
  <c r="I197" i="6"/>
  <c r="I189" i="6"/>
  <c r="I184" i="6"/>
  <c r="I15" i="6"/>
  <c r="I11" i="6"/>
  <c r="I175" i="6"/>
  <c r="I171" i="6"/>
  <c r="I166" i="6"/>
  <c r="I105" i="6"/>
  <c r="I102" i="6"/>
  <c r="I99" i="6"/>
  <c r="I88" i="6"/>
  <c r="I85" i="6"/>
  <c r="I82" i="6"/>
  <c r="I79" i="6"/>
  <c r="I76" i="6"/>
  <c r="I73" i="6"/>
  <c r="I70" i="6"/>
  <c r="I67" i="6"/>
  <c r="I64" i="6"/>
  <c r="I61" i="6"/>
  <c r="I58" i="6"/>
  <c r="I55" i="6"/>
  <c r="I52" i="6"/>
  <c r="I49" i="6"/>
  <c r="I46" i="6"/>
  <c r="I43" i="6"/>
  <c r="I40" i="6"/>
  <c r="I37" i="6"/>
  <c r="I34" i="6"/>
  <c r="I31" i="6"/>
  <c r="I28" i="6"/>
  <c r="I25" i="6"/>
  <c r="I22" i="6"/>
  <c r="I19" i="6"/>
  <c r="I162" i="6"/>
  <c r="I95" i="6"/>
  <c r="I180" i="6"/>
  <c r="I158" i="6"/>
  <c r="I154" i="6"/>
  <c r="I150" i="6"/>
  <c r="I146" i="6"/>
  <c r="I142" i="6"/>
  <c r="I138" i="6"/>
  <c r="I133" i="6"/>
  <c r="I130" i="6"/>
  <c r="I127" i="6"/>
  <c r="I124" i="6"/>
  <c r="I121" i="6"/>
  <c r="I118" i="6"/>
  <c r="I115" i="6"/>
  <c r="I112" i="6"/>
  <c r="A87" i="1" l="1"/>
  <c r="B87" i="1"/>
  <c r="E87" i="1" l="1"/>
  <c r="F87" i="1" s="1"/>
  <c r="C87" i="1"/>
</calcChain>
</file>

<file path=xl/sharedStrings.xml><?xml version="1.0" encoding="utf-8"?>
<sst xmlns="http://schemas.openxmlformats.org/spreadsheetml/2006/main" count="2581" uniqueCount="605">
  <si>
    <t>Score</t>
  </si>
  <si>
    <t>Status</t>
  </si>
  <si>
    <t>No</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</si>
  <si>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</si>
  <si>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</si>
  <si>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</si>
  <si>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</si>
  <si>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</si>
  <si>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</si>
  <si>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</si>
  <si>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</si>
  <si>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</si>
  <si>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</si>
  <si>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</si>
  <si>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</si>
  <si>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</si>
  <si>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</si>
  <si>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</si>
  <si>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</si>
  <si>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</si>
  <si>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</si>
  <si>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</si>
  <si>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</si>
  <si>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NA</t>
  </si>
  <si>
    <t>Aiken</t>
  </si>
  <si>
    <t>Allendale</t>
  </si>
  <si>
    <t>Anderson 1</t>
  </si>
  <si>
    <t>Anderson 2</t>
  </si>
  <si>
    <t>Anderson 3</t>
  </si>
  <si>
    <t>Anderson 4</t>
  </si>
  <si>
    <t>Anderson 5</t>
  </si>
  <si>
    <t>Bamberg 1</t>
  </si>
  <si>
    <t>Bamberg 2</t>
  </si>
  <si>
    <t>Barnwell 19</t>
  </si>
  <si>
    <t>Barnwell 29</t>
  </si>
  <si>
    <t>Barnwell 45</t>
  </si>
  <si>
    <t>Beaufort</t>
  </si>
  <si>
    <t>Berkeley</t>
  </si>
  <si>
    <t>Calhoun</t>
  </si>
  <si>
    <t>Charleston</t>
  </si>
  <si>
    <t>Charter Erskine</t>
  </si>
  <si>
    <t>Cherokee</t>
  </si>
  <si>
    <t>Chester</t>
  </si>
  <si>
    <t>Chesterfield</t>
  </si>
  <si>
    <t>Clarendon 2</t>
  </si>
  <si>
    <t>Colleton</t>
  </si>
  <si>
    <t>Darlington</t>
  </si>
  <si>
    <t>Dillon 3</t>
  </si>
  <si>
    <t>Dillon 4</t>
  </si>
  <si>
    <t>Dorchester 2</t>
  </si>
  <si>
    <t>Dorchester 4</t>
  </si>
  <si>
    <t>Edgefield</t>
  </si>
  <si>
    <t>Fairfield</t>
  </si>
  <si>
    <t>Florence 1</t>
  </si>
  <si>
    <t>Florence 2</t>
  </si>
  <si>
    <t>Florence 3</t>
  </si>
  <si>
    <t>Florence 4</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</si>
  <si>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</si>
  <si>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</si>
  <si>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</si>
  <si>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</si>
  <si>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</si>
  <si>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</si>
  <si>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</si>
  <si>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</si>
  <si>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</si>
  <si>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</si>
  <si>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</si>
  <si>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</si>
  <si>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</si>
  <si>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</si>
  <si>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</si>
  <si>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</si>
  <si>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</si>
  <si>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</si>
  <si>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</si>
  <si>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</si>
  <si>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</si>
  <si>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</si>
  <si>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</si>
  <si>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</si>
  <si>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</si>
  <si>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</si>
  <si>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</si>
  <si>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</si>
  <si>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</si>
  <si>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</si>
  <si>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</si>
  <si>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</si>
  <si>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</si>
  <si>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</si>
  <si>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</si>
  <si>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</si>
  <si>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</si>
  <si>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</si>
  <si>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</si>
  <si>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</si>
  <si>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</si>
  <si>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</si>
  <si>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</si>
  <si>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</si>
  <si>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</si>
  <si>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</si>
  <si>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</si>
  <si>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</si>
  <si>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</si>
  <si>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</si>
  <si>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</si>
  <si>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</si>
  <si>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</si>
  <si>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</si>
  <si>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</si>
  <si>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</si>
  <si>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</si>
  <si>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</si>
  <si>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</si>
  <si>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</si>
  <si>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</si>
  <si>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</si>
  <si>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</si>
  <si>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</si>
  <si>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</si>
  <si>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</si>
  <si>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</si>
  <si>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</si>
  <si>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</si>
  <si>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</si>
  <si>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</si>
  <si>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</si>
  <si>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</si>
  <si>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6A 3 Yr Old</t>
  </si>
  <si>
    <t>Indicator 6A 4 Yr Old</t>
  </si>
  <si>
    <t>Indicator 6A 5 Yr Old</t>
  </si>
  <si>
    <t>Indicator 6B 3 Yr Old</t>
  </si>
  <si>
    <t>Indicator 6B 4 Yr Old</t>
  </si>
  <si>
    <t>Indicator 6B 5 Yr Old</t>
  </si>
  <si>
    <t>Indicator 6C 3 Yr Old</t>
  </si>
  <si>
    <t>Indicator 6C 4 Yr Old</t>
  </si>
  <si>
    <t>Indicator 6C 5 Yr Old</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</si>
  <si>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</si>
  <si>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</si>
  <si>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</si>
  <si>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</si>
  <si>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</si>
  <si>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</si>
  <si>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</si>
  <si>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</si>
  <si>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</si>
  <si>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</si>
  <si>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</si>
  <si>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</si>
  <si>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</si>
  <si>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Yes</t>
  </si>
  <si>
    <t>SC</t>
  </si>
  <si>
    <t>400 Greenville St</t>
  </si>
  <si>
    <t>1000 Brookhaven Drive</t>
  </si>
  <si>
    <t xml:space="preserve">P.O. Box 458 </t>
  </si>
  <si>
    <t>P.O. Box 99</t>
  </si>
  <si>
    <t>10990 Belton Honea Path Hwy</t>
  </si>
  <si>
    <t>335 West Front Street</t>
  </si>
  <si>
    <t>315 East Queen Street</t>
  </si>
  <si>
    <t>400 Pearman Dairy Road</t>
  </si>
  <si>
    <t>267 Red Raider Drive</t>
  </si>
  <si>
    <t>60 Holly Avenue</t>
  </si>
  <si>
    <t>446 Country Club Road</t>
  </si>
  <si>
    <t>12255 Main St</t>
  </si>
  <si>
    <t>770 Hagood Avenue</t>
  </si>
  <si>
    <t>P.O. Drawer 309</t>
  </si>
  <si>
    <t>229 E. Main Street</t>
  </si>
  <si>
    <t>125 Herlong Avenue</t>
  </si>
  <si>
    <t>75 Calhoun St</t>
  </si>
  <si>
    <t>1201 Main Street Suite 300</t>
  </si>
  <si>
    <t xml:space="preserve">PO Box 460 </t>
  </si>
  <si>
    <t>509 District Office Drive</t>
  </si>
  <si>
    <t>401 West Blvd.</t>
  </si>
  <si>
    <t>10 Weinberg Street</t>
  </si>
  <si>
    <t>611 Colleton Loop</t>
  </si>
  <si>
    <t>120 E. Smith Ave.</t>
  </si>
  <si>
    <t>205 King Street</t>
  </si>
  <si>
    <t>1738 Hwy 301 North</t>
  </si>
  <si>
    <t>1325-C Boone Hill Road</t>
  </si>
  <si>
    <t>810 Schoolhous;e Rd</t>
  </si>
  <si>
    <t>3 Par Drive</t>
  </si>
  <si>
    <t>PO Drawer 622</t>
  </si>
  <si>
    <t>319  South Dargan Street</t>
  </si>
  <si>
    <t>2121 South Pamplico Highway</t>
  </si>
  <si>
    <t>209 Graham Road</t>
  </si>
  <si>
    <t>304 Kemper Street</t>
  </si>
  <si>
    <t>P.O. Box 98</t>
  </si>
  <si>
    <t>2018 Church Street</t>
  </si>
  <si>
    <t>301 East Camperdown Way</t>
  </si>
  <si>
    <t>PO Box 248</t>
  </si>
  <si>
    <t>56 South Greenwood Avenue</t>
  </si>
  <si>
    <t>605 Johnston Road</t>
  </si>
  <si>
    <t>335 Four Mile Rd</t>
  </si>
  <si>
    <t>PO Box 848</t>
  </si>
  <si>
    <t xml:space="preserve">2029 West DeKalb Street </t>
  </si>
  <si>
    <t>300 South Catawba Street</t>
  </si>
  <si>
    <t>301 Hillcrest Drive</t>
  </si>
  <si>
    <t>625 Elizabeth Street</t>
  </si>
  <si>
    <t>PO Box 507</t>
  </si>
  <si>
    <t>111 Tarrar Springs Road Building 3, Suites D and E</t>
  </si>
  <si>
    <t>715 9th Street</t>
  </si>
  <si>
    <t>338 West Columbia Ave</t>
  </si>
  <si>
    <t>607 East Fifth Street</t>
  </si>
  <si>
    <t>1020 Dutch Fork Road</t>
  </si>
  <si>
    <t>719 North Main Street</t>
  </si>
  <si>
    <t>Post Office Box 947</t>
  </si>
  <si>
    <t>821 N. Mine Street</t>
  </si>
  <si>
    <t>P. O. Box 718</t>
  </si>
  <si>
    <t>414 South Pine Street</t>
  </si>
  <si>
    <t>4444 Broad River Road</t>
  </si>
  <si>
    <t>1400 Griffin Mill Rd.</t>
  </si>
  <si>
    <t>1225  Oak Street</t>
  </si>
  <si>
    <t>124 Risdon Way</t>
  </si>
  <si>
    <t>404 N. Wise Rd.</t>
  </si>
  <si>
    <t>121 Wheeler Street</t>
  </si>
  <si>
    <t>3231 Old Furnace Rd</t>
  </si>
  <si>
    <t>PO Box 267</t>
  </si>
  <si>
    <t>118 McEdco Road</t>
  </si>
  <si>
    <t>100 N Danzler Road</t>
  </si>
  <si>
    <t>1390 Cavalier Way</t>
  </si>
  <si>
    <t>Office of Special Services</t>
  </si>
  <si>
    <t xml:space="preserve">1345 Wilson Hall Road </t>
  </si>
  <si>
    <t xml:space="preserve">517 East Main Street </t>
  </si>
  <si>
    <t>500 North Academy Street</t>
  </si>
  <si>
    <t>PO Box 770</t>
  </si>
  <si>
    <t>300 Clinton Avenue</t>
  </si>
  <si>
    <t>386 East Black Street</t>
  </si>
  <si>
    <t>2233 Deerfield Drive</t>
  </si>
  <si>
    <t>Fairfax</t>
  </si>
  <si>
    <t>Williamston</t>
  </si>
  <si>
    <t>Honea Path</t>
  </si>
  <si>
    <t>Iva</t>
  </si>
  <si>
    <t>Pendleton</t>
  </si>
  <si>
    <t>Anderson</t>
  </si>
  <si>
    <t>Bamberg</t>
  </si>
  <si>
    <t>Denmark</t>
  </si>
  <si>
    <t>Blackville</t>
  </si>
  <si>
    <t>Williston</t>
  </si>
  <si>
    <t>Barnwell</t>
  </si>
  <si>
    <t>Moncks Corner</t>
  </si>
  <si>
    <t>St Matthews</t>
  </si>
  <si>
    <t>Columbia</t>
  </si>
  <si>
    <t>Gaffney</t>
  </si>
  <si>
    <t>Manning</t>
  </si>
  <si>
    <t>Walterboro</t>
  </si>
  <si>
    <t>Latta</t>
  </si>
  <si>
    <t>Dillon</t>
  </si>
  <si>
    <t>Summerville</t>
  </si>
  <si>
    <t>Dorchester</t>
  </si>
  <si>
    <t>Johnston</t>
  </si>
  <si>
    <t>Winnsboro</t>
  </si>
  <si>
    <t>FLorence</t>
  </si>
  <si>
    <t>Pamplico</t>
  </si>
  <si>
    <t>Florence</t>
  </si>
  <si>
    <t>Timmonsville</t>
  </si>
  <si>
    <t>Johnsonville</t>
  </si>
  <si>
    <t>Georg;etown</t>
  </si>
  <si>
    <t>Greenwood</t>
  </si>
  <si>
    <t>Ware Shoals</t>
  </si>
  <si>
    <t>Ninet;y Six</t>
  </si>
  <si>
    <t>Varnville</t>
  </si>
  <si>
    <t>Conway</t>
  </si>
  <si>
    <t>Ridgeland</t>
  </si>
  <si>
    <t>Camden</t>
  </si>
  <si>
    <t>Laurens</t>
  </si>
  <si>
    <t>Clinton</t>
  </si>
  <si>
    <t>Bishopville</t>
  </si>
  <si>
    <t>Lexington</t>
  </si>
  <si>
    <t>West Columbia</t>
  </si>
  <si>
    <t>Batesburg-Leesville</t>
  </si>
  <si>
    <t>Swansea</t>
  </si>
  <si>
    <t>Irmo</t>
  </si>
  <si>
    <t>Bennettsville</t>
  </si>
  <si>
    <t>Walhalla</t>
  </si>
  <si>
    <t>Easley</t>
  </si>
  <si>
    <t xml:space="preserve">Columbia </t>
  </si>
  <si>
    <t>Spartanburg</t>
  </si>
  <si>
    <t>Campobello</t>
  </si>
  <si>
    <t>Chesnee</t>
  </si>
  <si>
    <t>Glendale</t>
  </si>
  <si>
    <t>Woodruff</t>
  </si>
  <si>
    <t>Duncan</t>
  </si>
  <si>
    <t>Roebuck</t>
  </si>
  <si>
    <t xml:space="preserve">Sumter </t>
  </si>
  <si>
    <t xml:space="preserve">Union </t>
  </si>
  <si>
    <t>Kingstree</t>
  </si>
  <si>
    <t>York</t>
  </si>
  <si>
    <t>Clover</t>
  </si>
  <si>
    <t>Rock Hill</t>
  </si>
  <si>
    <t>Fort Mill</t>
  </si>
  <si>
    <t>NC</t>
  </si>
  <si>
    <t>Districts</t>
  </si>
  <si>
    <t>&gt;=</t>
  </si>
  <si>
    <t>&lt;=</t>
  </si>
  <si>
    <t>=</t>
  </si>
  <si>
    <t>Notes</t>
  </si>
  <si>
    <t>State</t>
  </si>
  <si>
    <t>LEA 20-21</t>
  </si>
  <si>
    <t>CF5</t>
  </si>
  <si>
    <t>PF1 20-21</t>
  </si>
  <si>
    <t>PF2 20-21</t>
  </si>
  <si>
    <t>PF3 20-21</t>
  </si>
  <si>
    <t>PF4 20-21</t>
  </si>
  <si>
    <t>PF5 20-21</t>
  </si>
  <si>
    <t>PF6 20-21</t>
  </si>
  <si>
    <t>PF7 20-21</t>
  </si>
  <si>
    <t>Indicator 4A</t>
  </si>
  <si>
    <t>Indicator 9</t>
  </si>
  <si>
    <t>Indicator 10</t>
  </si>
  <si>
    <t>Indicator 1</t>
  </si>
  <si>
    <t>Indicator 2</t>
  </si>
  <si>
    <t>102 Founder's Court</t>
  </si>
  <si>
    <t>Indicator 4B</t>
  </si>
  <si>
    <t>Overall Score</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</si>
  <si>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</si>
  <si>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</si>
  <si>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</si>
  <si>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</si>
  <si>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</si>
  <si>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</si>
  <si>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</si>
  <si>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Performance Factor 2 - ELA</t>
  </si>
  <si>
    <t>Performance Factor 3 - Math</t>
  </si>
  <si>
    <t>Performance Factor 4 - School Age LRE</t>
  </si>
  <si>
    <t>Performance Factor 5 - Early Childhood</t>
  </si>
  <si>
    <t>Performance Factor 6 - SWD Suspensions</t>
  </si>
  <si>
    <t>Performance Factor 7 - Career Readiness</t>
  </si>
  <si>
    <t>Compliance Scoring (Lag-year data)</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</si>
  <si>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</si>
  <si>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</si>
  <si>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</si>
  <si>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</si>
  <si>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</si>
  <si>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</si>
  <si>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</si>
  <si>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</si>
  <si>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</si>
  <si>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</si>
  <si>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</si>
  <si>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</si>
  <si>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</si>
  <si>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</si>
  <si>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</si>
  <si>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</si>
  <si>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</si>
  <si>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</si>
  <si>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</si>
  <si>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</si>
  <si>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</si>
  <si>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</si>
  <si>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</si>
  <si>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</si>
  <si>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</si>
  <si>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</si>
  <si>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</si>
  <si>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</si>
  <si>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</si>
  <si>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</si>
  <si>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</si>
  <si>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</si>
  <si>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</si>
  <si>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</si>
  <si>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</si>
  <si>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</si>
  <si>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</si>
  <si>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</si>
  <si>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</si>
  <si>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</si>
  <si>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</si>
  <si>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</si>
  <si>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</si>
  <si>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</si>
  <si>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</si>
  <si>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</si>
  <si>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</si>
  <si>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</si>
  <si>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</si>
  <si>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</si>
  <si>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</si>
  <si>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</si>
  <si>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</si>
  <si>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</si>
  <si>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</si>
  <si>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</si>
  <si>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</si>
  <si>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</si>
  <si>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</si>
  <si>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</si>
  <si>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</si>
  <si>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</si>
  <si>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</si>
  <si>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</si>
  <si>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</si>
  <si>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6A: Preschool Least Restrictive Environment (LRE) Age 3</t>
  </si>
  <si>
    <t>Percent of children age 3 attending a regular early childhood program</t>
  </si>
  <si>
    <t>Indicator 6A: Preschool Least Restrictive Environment (LRE) Age 4</t>
  </si>
  <si>
    <t>Percent of children age 4 attending a regular early childhood program</t>
  </si>
  <si>
    <t>Indicator 6A: Preschool Least Restrictive Environment (LRE) Age 5 not K</t>
  </si>
  <si>
    <t>Percent of children age 5 not in Kindergarten attending a regular early childhood program</t>
  </si>
  <si>
    <t>Indicator 6B: Preschool Least Restrictive Environment (LRE) Age 3</t>
  </si>
  <si>
    <t>Percent of children age 3 attending a separate special education class, separate school, or residential facility</t>
  </si>
  <si>
    <t>Indicator 6B: Preschool Least Restrictive Environment (LRE) Age 4</t>
  </si>
  <si>
    <t>Percent of children age 4 attending a separate special education class, separate school, or residential facility</t>
  </si>
  <si>
    <t>Indicator 6B: Preschool Least Restrictive Environment (LRE) Age 5 not K</t>
  </si>
  <si>
    <t>Percent of children age 5 not in Kindergarten attending a separate special education class, separate school, or residential facility</t>
  </si>
  <si>
    <t>Indicator 6C: Preschool Least Restrictive Environment (LRE) Age 3</t>
  </si>
  <si>
    <t>Percent of children age 3 attending educational classes at home</t>
  </si>
  <si>
    <t>Indicator 6C: Preschool Least Restrictive Environment (LRE) Age 4</t>
  </si>
  <si>
    <t>Percent of children age 4 attending educational classes at home</t>
  </si>
  <si>
    <t>Indicator 6C: Preschool Least Restrictive Environment (LRE) Age 5 not K</t>
  </si>
  <si>
    <t>Percent of children age 5 not in Kindergarten attending educational classes at home</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</si>
  <si>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</si>
  <si>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</si>
  <si>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</si>
  <si>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</si>
  <si>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</si>
  <si>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</si>
  <si>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</si>
  <si>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</si>
  <si>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</si>
  <si>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</si>
  <si>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</si>
  <si>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</si>
  <si>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</si>
  <si>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</si>
  <si>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</si>
  <si>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</si>
  <si>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</si>
  <si>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</si>
  <si>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</si>
  <si>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</si>
  <si>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</si>
  <si>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</si>
  <si>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</si>
  <si>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</si>
  <si>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</si>
  <si>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</si>
  <si>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</si>
  <si>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</si>
  <si>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</si>
  <si>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</si>
  <si>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</si>
  <si>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</si>
  <si>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</si>
  <si>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</si>
  <si>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</si>
  <si>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</si>
  <si>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</si>
  <si>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</si>
  <si>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</si>
  <si>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2021-2022 Special Education Profile</t>
  </si>
  <si>
    <t>2021-2022 Special Education Determination</t>
  </si>
  <si>
    <t>Clarendon 4</t>
  </si>
  <si>
    <t>Hampton</t>
  </si>
  <si>
    <t>SC Department of Juvenile Justice</t>
  </si>
  <si>
    <t>SC Governor's School for Science and Mathematics</t>
  </si>
  <si>
    <t>SC Public Charter</t>
  </si>
  <si>
    <t>SC School of Deaf &amp; Blind</t>
  </si>
  <si>
    <t>SC Governor's School for Agriculture at John de la Howe</t>
  </si>
  <si>
    <t>1919 Blanding St</t>
  </si>
  <si>
    <t xml:space="preserve">372 Pine Street East </t>
  </si>
  <si>
    <t>405 N. Wise Rd.</t>
  </si>
  <si>
    <t>407 N. Wise Rd.</t>
  </si>
  <si>
    <t>Lag-year data - Represents data for 2020-2021</t>
  </si>
  <si>
    <t>LEA 21-22</t>
  </si>
  <si>
    <t>State 21-22</t>
  </si>
  <si>
    <t>PF1 21-22</t>
  </si>
  <si>
    <t>PF2 21-22</t>
  </si>
  <si>
    <t>PF3 21-22</t>
  </si>
  <si>
    <t>PF4 21-22</t>
  </si>
  <si>
    <t>PF5 21-22</t>
  </si>
  <si>
    <t>PF6 21-22</t>
  </si>
  <si>
    <t>PF7 21-22</t>
  </si>
  <si>
    <t>Profiency rate gap of children with IEPs in a 4th grade setting against 2021-2022 grade level academic standards for ELA</t>
  </si>
  <si>
    <t>Profiency rate gap of children with IEPs in an 8th grade setting against 2021-2022 grade level academic standards for ELA</t>
  </si>
  <si>
    <t>Profiency rate gap of children with IEPs in a High School setting against 2021-2022 grade level academic standards for ELA</t>
  </si>
  <si>
    <t>Profiency rate gap of children with IEPs in a 4th grade setting against 2021-2022 grade level academic standards for Math</t>
  </si>
  <si>
    <t>Profiency rate gap of children with IEPs in an 8th grade setting against 2021-2022 grade level academic standards for Math</t>
  </si>
  <si>
    <t>Profiency rate gap of children with IEPs in High School setting against 2021-2022 grade level academic standards for Math</t>
  </si>
  <si>
    <t>aaaTarget</t>
  </si>
  <si>
    <t>aaState</t>
  </si>
  <si>
    <t>SC Governor's School For The Arts and Humanities</t>
  </si>
  <si>
    <t>P.O. Box 1252</t>
  </si>
  <si>
    <t>Total %</t>
  </si>
  <si>
    <t>192 Gettys Rd</t>
  </si>
  <si>
    <t>15 University Street</t>
  </si>
  <si>
    <t>1824 Barnwell Street</t>
  </si>
  <si>
    <t>101 Executive Center drive</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</si>
  <si>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</si>
  <si>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</si>
  <si>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</si>
  <si>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</si>
  <si>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</si>
  <si>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</si>
  <si>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</si>
  <si>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</si>
  <si>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</si>
  <si>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</si>
  <si>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</si>
  <si>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</si>
  <si>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</si>
  <si>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</si>
  <si>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</si>
  <si>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</si>
  <si>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</si>
  <si>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</si>
  <si>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</si>
  <si>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</si>
  <si>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PF2 - ELA 4th Grade</t>
  </si>
  <si>
    <t>PF2 - ELA 4th Grade 20-21</t>
  </si>
  <si>
    <t>PF2 - ELA 4th Grade 21-22</t>
  </si>
  <si>
    <t>PF3 - ELA  8th Grade</t>
  </si>
  <si>
    <t>PF3 - ELA 8th Grade 20-21</t>
  </si>
  <si>
    <t>PF3 -  ELA 8th Grade 21-22</t>
  </si>
  <si>
    <t xml:space="preserve">PF4 - Math 4th Grade </t>
  </si>
  <si>
    <t>PF4 - Math 4th Grade 20-21</t>
  </si>
  <si>
    <t>PF5 - Math 8th Grade</t>
  </si>
  <si>
    <t>PF5 - Math 8th Grade 20-21</t>
  </si>
  <si>
    <t>PF5 - Math 8th Grade 21-22</t>
  </si>
  <si>
    <t>PF6 - LRE</t>
  </si>
  <si>
    <t>PF6 - LRE 20-21</t>
  </si>
  <si>
    <t>PF6 - LRE 21-22</t>
  </si>
  <si>
    <t>PF7 - EC</t>
  </si>
  <si>
    <t>PF7 - EC 20-21</t>
  </si>
  <si>
    <t>PF7 - EC  21-22</t>
  </si>
  <si>
    <t>PF8 - SWD</t>
  </si>
  <si>
    <t>PF8 - SWD 20-21</t>
  </si>
  <si>
    <t>PF8 - SWD  21-22</t>
  </si>
  <si>
    <t>PF9 - CR</t>
  </si>
  <si>
    <t>PF9 - CR 20-21</t>
  </si>
  <si>
    <t>PF9 - CR 21-22</t>
  </si>
  <si>
    <t>PF1 - Grad</t>
  </si>
  <si>
    <t>PF1 - Grad 20-21</t>
  </si>
  <si>
    <t>PF1 - Grad 21-22</t>
  </si>
  <si>
    <t>0</t>
  </si>
  <si>
    <t>2</t>
  </si>
  <si>
    <t>Numerator</t>
  </si>
  <si>
    <t>Denominator</t>
  </si>
  <si>
    <t>Graduated w High School Diploma</t>
  </si>
  <si>
    <t>Graduated with a regular HS Diploma, Received a Certificate/SC HS Credential, Reached Maximum Age, Dropped Out</t>
  </si>
  <si>
    <t>Increase from the target</t>
  </si>
  <si>
    <t>Sum of SWD Number Tested Regular Assessment</t>
  </si>
  <si>
    <t>Sum of SWD Number Proficient (Regular Assessment)</t>
  </si>
  <si>
    <t>Decrease from the target</t>
  </si>
  <si>
    <t>total # of students aged 5 who are enrolled in kindergarten and aged 6 through 21 with IEPs</t>
  </si>
  <si>
    <t>total # of children ages 3, 4, and 5 with IEPs</t>
  </si>
  <si>
    <t># of children with Out of School Suspension</t>
  </si>
  <si>
    <t>Total # of children on ages 3 - 21 with IEPs</t>
  </si>
  <si>
    <t># of children are Career Readiness</t>
  </si>
  <si>
    <t>The Office of Special Education Programs (OSEP) requires states to publicly report how the Local Education Agency (LEA) compares (profiles) to the state’s State Performance Plan (SPP)/Annual Performance Report.  The data used are from the 2021-22 reporting year for all indicators except Indicators 1, 2, and 4 which use 2020-21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2021-22 reporting year. A score of “0” will automatically result in Targeted Assistance in the area of deficiency.</t>
  </si>
  <si>
    <r>
      <rPr>
        <b/>
        <sz val="8"/>
        <color rgb="FFFF0000"/>
        <rFont val="Calibri"/>
        <family val="2"/>
        <scheme val="minor"/>
      </rPr>
      <t>3 -</t>
    </r>
    <r>
      <rPr>
        <sz val="8"/>
        <color theme="1"/>
        <rFont val="Calibri"/>
        <family val="2"/>
        <scheme val="minor"/>
      </rPr>
      <t>All data submissions are submitted on time (within the prescribed data collection windows) and no more than one data submission contained LEA (not system) errors,</t>
    </r>
    <r>
      <rPr>
        <b/>
        <sz val="8"/>
        <color theme="1"/>
        <rFont val="Calibri"/>
        <family val="2"/>
        <scheme val="minor"/>
      </rPr>
      <t xml:space="preserve"> 
</t>
    </r>
    <r>
      <rPr>
        <b/>
        <sz val="8"/>
        <color rgb="FFFF0000"/>
        <rFont val="Calibri"/>
        <family val="2"/>
        <scheme val="minor"/>
      </rPr>
      <t>2</t>
    </r>
    <r>
      <rPr>
        <sz val="8"/>
        <color rgb="FFFF0000"/>
        <rFont val="Calibri"/>
        <family val="2"/>
        <scheme val="minor"/>
      </rPr>
      <t xml:space="preserve"> -</t>
    </r>
    <r>
      <rPr>
        <sz val="8"/>
        <color theme="1"/>
        <rFont val="Calibri"/>
        <family val="2"/>
        <scheme val="minor"/>
      </rPr>
      <t>The LEA submitted late data submissions no more than two times during the reporting year and no more than two data submissions contained LEA errors,</t>
    </r>
    <r>
      <rPr>
        <b/>
        <sz val="8"/>
        <color theme="1"/>
        <rFont val="Calibri"/>
        <family val="2"/>
        <scheme val="minor"/>
      </rPr>
      <t xml:space="preserve"> 
</t>
    </r>
    <r>
      <rPr>
        <b/>
        <sz val="8"/>
        <color rgb="FFFF0000"/>
        <rFont val="Calibri"/>
        <family val="2"/>
        <scheme val="minor"/>
      </rPr>
      <t>1 -</t>
    </r>
    <r>
      <rPr>
        <sz val="8"/>
        <color theme="1"/>
        <rFont val="Calibri"/>
        <family val="2"/>
        <scheme val="minor"/>
      </rPr>
      <t xml:space="preserve">The LEA submitted late data no more than four times during the reporting year and no more than four data submissions contained LEA errors, 
</t>
    </r>
    <r>
      <rPr>
        <b/>
        <sz val="8"/>
        <color rgb="FFFF0000"/>
        <rFont val="Calibri"/>
        <family val="2"/>
        <scheme val="minor"/>
      </rPr>
      <t>0</t>
    </r>
    <r>
      <rPr>
        <sz val="8"/>
        <color rgb="FFFF0000"/>
        <rFont val="Calibri"/>
        <family val="2"/>
        <scheme val="minor"/>
      </rPr>
      <t xml:space="preserve"> -</t>
    </r>
    <r>
      <rPr>
        <sz val="8"/>
        <color theme="1"/>
        <rFont val="Calibri"/>
        <family val="2"/>
        <scheme val="minor"/>
      </rPr>
      <t>The LEA submitted data late five or more times during the reporting year and five or more data submissions contained LEA errors</t>
    </r>
  </si>
  <si>
    <r>
      <rPr>
        <b/>
        <sz val="8"/>
        <color rgb="FFFF0000"/>
        <rFont val="Calibri"/>
        <family val="2"/>
        <scheme val="minor"/>
      </rPr>
      <t>3 -</t>
    </r>
    <r>
      <rPr>
        <sz val="8"/>
        <color theme="1"/>
        <rFont val="Calibri"/>
        <family val="2"/>
        <scheme val="minor"/>
      </rPr>
      <t xml:space="preserve">Low risk based on fiscal monitoring risk factors, 
</t>
    </r>
    <r>
      <rPr>
        <b/>
        <sz val="8"/>
        <color rgb="FFFF0000"/>
        <rFont val="Calibri"/>
        <family val="2"/>
        <scheme val="minor"/>
      </rPr>
      <t>2 -</t>
    </r>
    <r>
      <rPr>
        <sz val="8"/>
        <color theme="1"/>
        <rFont val="Calibri"/>
        <family val="2"/>
        <scheme val="minor"/>
      </rPr>
      <t xml:space="preserve">Moderate risk based on fiscal monitoring risk factors, 
</t>
    </r>
    <r>
      <rPr>
        <b/>
        <sz val="8"/>
        <color rgb="FFFF0000"/>
        <rFont val="Calibri"/>
        <family val="2"/>
        <scheme val="minor"/>
      </rPr>
      <t xml:space="preserve">1 - </t>
    </r>
    <r>
      <rPr>
        <sz val="8"/>
        <color theme="1"/>
        <rFont val="Calibri"/>
        <family val="2"/>
        <scheme val="minor"/>
      </rPr>
      <t>High risk based on fiscal monitoring risk factors,</t>
    </r>
    <r>
      <rPr>
        <b/>
        <sz val="8"/>
        <color rgb="FFFF0000"/>
        <rFont val="Calibri"/>
        <family val="2"/>
        <scheme val="minor"/>
      </rPr>
      <t xml:space="preserve"> 
0 -</t>
    </r>
    <r>
      <rPr>
        <sz val="8"/>
        <color theme="1"/>
        <rFont val="Calibri"/>
        <family val="2"/>
        <scheme val="minor"/>
      </rPr>
      <t>High risk with systemic findings from a Tier III fiscal monitoring review</t>
    </r>
  </si>
  <si>
    <r>
      <rPr>
        <b/>
        <sz val="8"/>
        <color rgb="FFFF0000"/>
        <rFont val="Calibri"/>
        <family val="2"/>
        <scheme val="minor"/>
      </rPr>
      <t>3 -</t>
    </r>
    <r>
      <rPr>
        <sz val="8"/>
        <color theme="1"/>
        <rFont val="Calibri"/>
        <family val="2"/>
        <scheme val="minor"/>
      </rPr>
      <t xml:space="preserve">100% compliant based on initial Indicator 13 submission, 
</t>
    </r>
    <r>
      <rPr>
        <b/>
        <sz val="8"/>
        <color rgb="FFFF0000"/>
        <rFont val="Calibri"/>
        <family val="2"/>
        <scheme val="minor"/>
      </rPr>
      <t>2 -</t>
    </r>
    <r>
      <rPr>
        <sz val="8"/>
        <color theme="1"/>
        <rFont val="Calibri"/>
        <family val="2"/>
        <scheme val="minor"/>
      </rPr>
      <t xml:space="preserve">All Indicator 13 corrections made and verified within designated review timeframe, 
</t>
    </r>
    <r>
      <rPr>
        <b/>
        <sz val="8"/>
        <color rgb="FFFF0000"/>
        <rFont val="Calibri"/>
        <family val="2"/>
        <scheme val="minor"/>
      </rPr>
      <t>1 -</t>
    </r>
    <r>
      <rPr>
        <sz val="8"/>
        <color theme="1"/>
        <rFont val="Calibri"/>
        <family val="2"/>
        <scheme val="minor"/>
      </rPr>
      <t xml:space="preserve">All Indicator 13 corrections made and verified within a year of findings, 
</t>
    </r>
    <r>
      <rPr>
        <b/>
        <sz val="8"/>
        <color rgb="FFFF0000"/>
        <rFont val="Calibri"/>
        <family val="2"/>
        <scheme val="minor"/>
      </rPr>
      <t>0 -</t>
    </r>
    <r>
      <rPr>
        <sz val="8"/>
        <color theme="1"/>
        <rFont val="Calibri"/>
        <family val="2"/>
        <scheme val="minor"/>
      </rPr>
      <t>Indicator 13 corrections are pending for over a year</t>
    </r>
  </si>
  <si>
    <r>
      <rPr>
        <b/>
        <sz val="8"/>
        <color rgb="FFFF0000"/>
        <rFont val="Calibri"/>
        <family val="2"/>
        <scheme val="minor"/>
      </rPr>
      <t>3 -</t>
    </r>
    <r>
      <rPr>
        <sz val="8"/>
        <color theme="1"/>
        <rFont val="Calibri"/>
        <family val="2"/>
        <scheme val="minor"/>
      </rPr>
      <t xml:space="preserve">No findings (finance, program, data, or compliance complaint) pending for over a year, 
</t>
    </r>
    <r>
      <rPr>
        <b/>
        <sz val="8"/>
        <color rgb="FFFF0000"/>
        <rFont val="Calibri"/>
        <family val="2"/>
        <scheme val="minor"/>
      </rPr>
      <t xml:space="preserve">2- </t>
    </r>
    <r>
      <rPr>
        <sz val="8"/>
        <color theme="1"/>
        <rFont val="Calibri"/>
        <family val="2"/>
        <scheme val="minor"/>
      </rPr>
      <t xml:space="preserve">One area that was not corrected within a year, 
</t>
    </r>
    <r>
      <rPr>
        <b/>
        <sz val="8"/>
        <color rgb="FFFF0000"/>
        <rFont val="Calibri"/>
        <family val="2"/>
        <scheme val="minor"/>
      </rPr>
      <t>1 -</t>
    </r>
    <r>
      <rPr>
        <sz val="8"/>
        <color theme="1"/>
        <rFont val="Calibri"/>
        <family val="2"/>
        <scheme val="minor"/>
      </rPr>
      <t xml:space="preserve">Two areas that were not corrected within a year or one area not corrected within two years, 
</t>
    </r>
    <r>
      <rPr>
        <b/>
        <sz val="8"/>
        <color rgb="FFFF0000"/>
        <rFont val="Calibri"/>
        <family val="2"/>
        <scheme val="minor"/>
      </rPr>
      <t>0 -</t>
    </r>
    <r>
      <rPr>
        <sz val="8"/>
        <color theme="1"/>
        <rFont val="Calibri"/>
        <family val="2"/>
        <scheme val="minor"/>
      </rPr>
      <t>Three areas that were not corrected within a year or two or more areas that were not corrected within two years</t>
    </r>
  </si>
  <si>
    <r>
      <rPr>
        <b/>
        <sz val="8"/>
        <color rgb="FFFF0000"/>
        <rFont val="Calibri"/>
        <family val="2"/>
        <scheme val="minor"/>
      </rPr>
      <t>3</t>
    </r>
    <r>
      <rPr>
        <sz val="8"/>
        <color rgb="FFFF0000"/>
        <rFont val="Calibri"/>
        <family val="2"/>
        <scheme val="minor"/>
      </rPr>
      <t xml:space="preserve"> -</t>
    </r>
    <r>
      <rPr>
        <sz val="8"/>
        <color theme="1"/>
        <rFont val="Calibri"/>
        <family val="2"/>
        <scheme val="minor"/>
      </rPr>
      <t xml:space="preserve">100% compliance for both Indicator 11 and Indicator 12, 
</t>
    </r>
    <r>
      <rPr>
        <b/>
        <sz val="8"/>
        <color rgb="FFFF0000"/>
        <rFont val="Calibri"/>
        <family val="2"/>
        <scheme val="minor"/>
      </rPr>
      <t>2 -</t>
    </r>
    <r>
      <rPr>
        <sz val="8"/>
        <color theme="1"/>
        <rFont val="Calibri"/>
        <family val="2"/>
        <scheme val="minor"/>
      </rPr>
      <t xml:space="preserve">95% or above combined compliance rate for Indicators 11 and 12, 
</t>
    </r>
    <r>
      <rPr>
        <b/>
        <sz val="8"/>
        <color rgb="FFFF0000"/>
        <rFont val="Calibri"/>
        <family val="2"/>
        <scheme val="minor"/>
      </rPr>
      <t>1 -</t>
    </r>
    <r>
      <rPr>
        <sz val="8"/>
        <color theme="1"/>
        <rFont val="Calibri"/>
        <family val="2"/>
        <scheme val="minor"/>
      </rPr>
      <t xml:space="preserve">85% or above combined compliance rate for Indicators 11 and 12, 
</t>
    </r>
    <r>
      <rPr>
        <b/>
        <sz val="8"/>
        <color rgb="FFFF0000"/>
        <rFont val="Calibri"/>
        <family val="2"/>
        <scheme val="minor"/>
      </rPr>
      <t>0 -</t>
    </r>
    <r>
      <rPr>
        <sz val="8"/>
        <color theme="1"/>
        <rFont val="Calibri"/>
        <family val="2"/>
        <scheme val="minor"/>
      </rPr>
      <t>Below 85% combined compliance rate for Indicators 11 and 12</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</si>
  <si>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 4B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 4B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 4B corrections pending for over a year</t>
    </r>
  </si>
  <si>
    <r>
      <rPr>
        <b/>
        <sz val="8"/>
        <color rgb="FFFF0000"/>
        <rFont val="Calibri"/>
        <family val="2"/>
        <scheme val="minor"/>
      </rPr>
      <t xml:space="preserve">3 </t>
    </r>
    <r>
      <rPr>
        <sz val="8"/>
        <color rgb="FFFF0000"/>
        <rFont val="Calibri"/>
        <family val="2"/>
        <scheme val="minor"/>
      </rPr>
      <t>-</t>
    </r>
    <r>
      <rPr>
        <sz val="8"/>
        <color theme="1"/>
        <rFont val="Calibri"/>
        <family val="2"/>
        <scheme val="minor"/>
      </rPr>
      <t xml:space="preserve">100% compliance after self-review submissions, 
</t>
    </r>
    <r>
      <rPr>
        <b/>
        <sz val="8"/>
        <color rgb="FFFF0000"/>
        <rFont val="Calibri"/>
        <family val="2"/>
        <scheme val="minor"/>
      </rPr>
      <t xml:space="preserve">2 </t>
    </r>
    <r>
      <rPr>
        <sz val="8"/>
        <color rgb="FFFF0000"/>
        <rFont val="Calibri"/>
        <family val="2"/>
        <scheme val="minor"/>
      </rPr>
      <t>-</t>
    </r>
    <r>
      <rPr>
        <sz val="8"/>
        <color theme="1"/>
        <rFont val="Calibri"/>
        <family val="2"/>
        <scheme val="minor"/>
      </rPr>
      <t>All indicators 9 and 10 corrections made and verified within review timeframe,</t>
    </r>
    <r>
      <rPr>
        <sz val="8"/>
        <color rgb="FFFF0000"/>
        <rFont val="Calibri"/>
        <family val="2"/>
        <scheme val="minor"/>
      </rPr>
      <t xml:space="preserve"> 
</t>
    </r>
    <r>
      <rPr>
        <b/>
        <sz val="8"/>
        <color rgb="FFFF0000"/>
        <rFont val="Calibri"/>
        <family val="2"/>
        <scheme val="minor"/>
      </rPr>
      <t>1</t>
    </r>
    <r>
      <rPr>
        <sz val="8"/>
        <color rgb="FFFF0000"/>
        <rFont val="Calibri"/>
        <family val="2"/>
        <scheme val="minor"/>
      </rPr>
      <t xml:space="preserve"> -</t>
    </r>
    <r>
      <rPr>
        <sz val="8"/>
        <color theme="1"/>
        <rFont val="Calibri"/>
        <family val="2"/>
        <scheme val="minor"/>
      </rPr>
      <t xml:space="preserve">All Indicators 9 and 10 corrections made and verfiied within a ywar of findings, 
</t>
    </r>
    <r>
      <rPr>
        <b/>
        <sz val="8"/>
        <color rgb="FFFF0000"/>
        <rFont val="Calibri"/>
        <family val="2"/>
        <scheme val="minor"/>
      </rPr>
      <t xml:space="preserve">0 </t>
    </r>
    <r>
      <rPr>
        <sz val="8"/>
        <color rgb="FFFF0000"/>
        <rFont val="Calibri"/>
        <family val="2"/>
        <scheme val="minor"/>
      </rPr>
      <t>-</t>
    </r>
    <r>
      <rPr>
        <sz val="8"/>
        <color theme="1"/>
        <rFont val="Calibri"/>
        <family val="2"/>
        <scheme val="minor"/>
      </rPr>
      <t>Indicators 9 and 10 corrections pending for over a year</t>
    </r>
  </si>
  <si>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</si>
  <si>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</si>
  <si>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</si>
  <si>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 of children ages 3, 4, and 5 with IEPs in a Regular Education Early Childhood Program at least 10 hrs per week</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</si>
  <si>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</si>
  <si>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</si>
  <si>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</si>
  <si>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</si>
  <si>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</si>
  <si>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</si>
  <si>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</si>
  <si>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</si>
  <si>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</si>
  <si>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</si>
  <si>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</si>
  <si>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Complaince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</si>
  <si>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8: </t>
    </r>
    <r>
      <rPr>
        <sz val="8"/>
        <color theme="1"/>
        <rFont val="Calibri"/>
        <family val="2"/>
        <scheme val="minor"/>
      </rPr>
      <t xml:space="preserve">
Disproportionate Representation (Indicators 9)</t>
    </r>
  </si>
  <si>
    <r>
      <rPr>
        <b/>
        <sz val="8"/>
        <color theme="1"/>
        <rFont val="Calibri"/>
        <family val="2"/>
        <scheme val="minor"/>
      </rPr>
      <t xml:space="preserve">Complaince Factor 9: </t>
    </r>
    <r>
      <rPr>
        <sz val="8"/>
        <color theme="1"/>
        <rFont val="Calibri"/>
        <family val="2"/>
        <scheme val="minor"/>
      </rPr>
      <t xml:space="preserve">
Disproportionate Representation by Race/Ethnicity and Disability (Indicators 10)</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</si>
  <si>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</si>
  <si>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</si>
  <si>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</si>
  <si>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</si>
  <si>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</si>
  <si>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</si>
  <si>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</si>
  <si>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</si>
  <si>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</si>
  <si>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r>
      <rPr>
        <b/>
        <sz val="8"/>
        <color theme="1"/>
        <rFont val="Calibri"/>
        <family val="2"/>
        <scheme val="minor"/>
      </rPr>
      <t xml:space="preserve">Compliance Factor 1: </t>
    </r>
    <r>
      <rPr>
        <sz val="8"/>
        <color theme="1"/>
        <rFont val="Calibri"/>
        <family val="2"/>
        <scheme val="minor"/>
      </rPr>
      <t xml:space="preserve">
Timely, Accurate and Complete Data Submissions</t>
    </r>
  </si>
  <si>
    <r>
      <rPr>
        <b/>
        <sz val="8"/>
        <color theme="1"/>
        <rFont val="Calibri"/>
        <family val="2"/>
        <scheme val="minor"/>
      </rPr>
      <t xml:space="preserve">Compliance Factor 2: </t>
    </r>
    <r>
      <rPr>
        <sz val="8"/>
        <color theme="1"/>
        <rFont val="Calibri"/>
        <family val="2"/>
        <scheme val="minor"/>
      </rPr>
      <t xml:space="preserve">
Fiscal/Grantee Risk </t>
    </r>
  </si>
  <si>
    <r>
      <rPr>
        <b/>
        <sz val="8"/>
        <color theme="1"/>
        <rFont val="Calibri"/>
        <family val="2"/>
        <scheme val="minor"/>
      </rPr>
      <t xml:space="preserve">Compliance Factor 5: </t>
    </r>
    <r>
      <rPr>
        <sz val="8"/>
        <color theme="1"/>
        <rFont val="Calibri"/>
        <family val="2"/>
        <scheme val="minor"/>
      </rPr>
      <t xml:space="preserve">
IDEA Timelines (Indicators 11 &amp; 12)</t>
    </r>
  </si>
  <si>
    <r>
      <rPr>
        <b/>
        <sz val="8"/>
        <color theme="1"/>
        <rFont val="Calibri"/>
        <family val="2"/>
        <scheme val="minor"/>
      </rPr>
      <t xml:space="preserve">Complaince Factor 6: </t>
    </r>
    <r>
      <rPr>
        <sz val="8"/>
        <color theme="1"/>
        <rFont val="Calibri"/>
        <family val="2"/>
        <scheme val="minor"/>
      </rPr>
      <t xml:space="preserve">
SWD Suspension Rate &gt; 10 Days by Race/Ethnicity (Indicator 4B)</t>
    </r>
  </si>
  <si>
    <r>
      <rPr>
        <b/>
        <sz val="8"/>
        <color theme="1"/>
        <rFont val="Calibri"/>
        <family val="2"/>
        <scheme val="minor"/>
      </rPr>
      <t xml:space="preserve">Complaince Factor 7: </t>
    </r>
    <r>
      <rPr>
        <sz val="8"/>
        <color theme="1"/>
        <rFont val="Calibri"/>
        <family val="2"/>
        <scheme val="minor"/>
      </rPr>
      <t xml:space="preserve">
Disproportionate Representation by Rce/Ethnicity (Indicators 9 and 10)</t>
    </r>
  </si>
  <si>
    <r>
      <rPr>
        <b/>
        <sz val="8"/>
        <color theme="1"/>
        <rFont val="Calibri"/>
        <family val="2"/>
        <scheme val="minor"/>
      </rPr>
      <t xml:space="preserve">Performance Factor 2: </t>
    </r>
    <r>
      <rPr>
        <sz val="8"/>
        <color theme="1"/>
        <rFont val="Calibri"/>
        <family val="2"/>
        <scheme val="minor"/>
      </rPr>
      <t xml:space="preserve">
ELA Assessment (3B - 4th &amp; 8th Combined)</t>
    </r>
  </si>
  <si>
    <r>
      <rPr>
        <b/>
        <sz val="8"/>
        <color theme="1"/>
        <rFont val="Calibri"/>
        <family val="2"/>
        <scheme val="minor"/>
      </rPr>
      <t xml:space="preserve">Performance Factor 3: </t>
    </r>
    <r>
      <rPr>
        <sz val="8"/>
        <color theme="1"/>
        <rFont val="Calibri"/>
        <family val="2"/>
        <scheme val="minor"/>
      </rPr>
      <t xml:space="preserve">
Math Assessment (3B - 4th &amp; 8th Combined)</t>
    </r>
  </si>
  <si>
    <r>
      <rPr>
        <b/>
        <sz val="8"/>
        <color theme="1"/>
        <rFont val="Calibri"/>
        <family val="2"/>
        <scheme val="minor"/>
      </rPr>
      <t xml:space="preserve">Performance Factor 4: </t>
    </r>
    <r>
      <rPr>
        <sz val="8"/>
        <color theme="1"/>
        <rFont val="Calibri"/>
        <family val="2"/>
        <scheme val="minor"/>
      </rPr>
      <t xml:space="preserve">
School Aged LRE</t>
    </r>
  </si>
  <si>
    <r>
      <rPr>
        <b/>
        <sz val="8"/>
        <color theme="1"/>
        <rFont val="Calibri"/>
        <family val="2"/>
        <scheme val="minor"/>
      </rPr>
      <t xml:space="preserve">Performance Factor 5: </t>
    </r>
    <r>
      <rPr>
        <sz val="8"/>
        <color theme="1"/>
        <rFont val="Calibri"/>
        <family val="2"/>
        <scheme val="minor"/>
      </rPr>
      <t xml:space="preserve">
Early Childhood LRE</t>
    </r>
  </si>
  <si>
    <r>
      <rPr>
        <b/>
        <sz val="8"/>
        <color theme="1"/>
        <rFont val="Calibri"/>
        <family val="2"/>
        <scheme val="minor"/>
      </rPr>
      <t xml:space="preserve">Performance Factor 6: </t>
    </r>
    <r>
      <rPr>
        <sz val="8"/>
        <color theme="1"/>
        <rFont val="Calibri"/>
        <family val="2"/>
        <scheme val="minor"/>
      </rPr>
      <t xml:space="preserve">
SWD Suspensions</t>
    </r>
  </si>
  <si>
    <r>
      <rPr>
        <b/>
        <sz val="8"/>
        <color theme="1"/>
        <rFont val="Calibri"/>
        <family val="2"/>
        <scheme val="minor"/>
      </rPr>
      <t xml:space="preserve">Performance Factor 7: </t>
    </r>
    <r>
      <rPr>
        <sz val="8"/>
        <color theme="1"/>
        <rFont val="Calibri"/>
        <family val="2"/>
        <scheme val="minor"/>
      </rPr>
      <t xml:space="preserve">
Career Readiness</t>
    </r>
  </si>
  <si>
    <t>Compliance Factor 1 - Timely, Accurate and Complete Data Submissions</t>
  </si>
  <si>
    <t>Compliance Factor 2 - Fiscal/Grantee Risk</t>
  </si>
  <si>
    <t>Compliance Factor 5 - IDEA Timelines (Indicators 11 and 12)</t>
  </si>
  <si>
    <t>Compliance Factor 6 - SWD Suspension Rate &gt; 10 Days by Race / Ethnicity (Indicator 4b)</t>
  </si>
  <si>
    <t>Compliance Factor 7 - Disproportionate Representation by Race/Ethnicity (Indicators 9 and 10)</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</si>
  <si>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2021-22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</si>
  <si>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1</t>
  </si>
  <si>
    <t>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</si>
</sst>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9"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8">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right style="thick">
        <color auto="1"/>
      </right>
      <top/>
      <bottom/>
      <diagonal/>
    </border>
    <border>
      <left style="thick">
        <color auto="1"/>
      </left>
      <right/>
      <top/>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cellStyleXfs>
  <cellXfs count="133">
    <xf numFmtId="0" fontId="0" fillId="0" borderId="0" xfId="0"/>
    <xf numFmtId="0" fontId="12" fillId="0" borderId="0" xfId="0" applyFont="1"/>
    <xf numFmtId="0" fontId="12" fillId="0" borderId="0" xfId="0" applyFont="1" applyAlignment="1">
      <alignment horizontal="left"/>
    </xf>
    <xf numFmtId="0" fontId="12" fillId="0" borderId="0" xfId="0" applyFont="1" applyAlignment="1">
      <alignment horizontal="right"/>
    </xf>
    <xf numFmtId="0" fontId="12" fillId="0" borderId="0" xfId="0" applyFont="1" applyAlignment="1">
      <alignment horizontal="center" vertical="center" wrapText="1"/>
    </xf>
    <xf numFmtId="0" fontId="12" fillId="0" borderId="0" xfId="0" applyFont="1" applyAlignment="1">
      <alignment horizontal="left" vertical="center" wrapText="1"/>
    </xf>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0" fontId="12" fillId="0" borderId="0" xfId="0" applyFont="1" applyAlignment="1">
      <alignment horizontal="right" vertical="center" wrapText="1"/>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1" fontId="12" fillId="0" borderId="0" xfId="0" applyNumberFormat="1" applyFont="1" applyAlignment="1">
      <alignment horizontal="center" vertical="center" wrapText="1"/>
    </xf>
    <xf numFmtId="165" fontId="0" fillId="0" borderId="0" xfId="0" applyNumberFormat="1" applyAlignment="1">
      <alignment horizontal="center" vertical="center"/>
    </xf>
    <xf numFmtId="0" fontId="0" fillId="0" borderId="0" xfId="0" applyAlignment="1">
      <alignment horizontal="center" vertical="center"/>
    </xf>
    <xf numFmtId="1" fontId="0" fillId="0" borderId="0" xfId="0" applyNumberFormat="1" applyAlignment="1">
      <alignment horizontal="center" vertical="center"/>
    </xf>
    <xf numFmtId="0" fontId="12" fillId="0" borderId="0" xfId="0" applyFont="1" applyAlignment="1">
      <alignment horizontal="center"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1" fontId="12" fillId="0" borderId="5" xfId="0" applyNumberFormat="1" applyFont="1" applyBorder="1" applyAlignment="1">
      <alignment horizontal="center" vertical="center" wrapText="1"/>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0" fontId="3" fillId="0" borderId="4" xfId="0" applyFont="1" applyBorder="1" applyAlignment="1">
      <alignment horizontal="right" vertical="top"/>
    </xf>
    <xf numFmtId="0" fontId="3" fillId="0" borderId="0" xfId="0" applyFont="1" applyAlignment="1">
      <alignment horizontal="right" vertical="top"/>
    </xf>
    <xf numFmtId="1" fontId="11" fillId="0" borderId="0" xfId="0" applyNumberFormat="1" applyFont="1" applyAlignment="1">
      <alignment horizontal="center" vertical="top"/>
    </xf>
    <xf numFmtId="165" fontId="12" fillId="0" borderId="0" xfId="0" applyNumberFormat="1" applyFont="1" applyAlignment="1">
      <alignment horizontal="center" vertical="center" wrapText="1"/>
    </xf>
    <xf numFmtId="1" fontId="12" fillId="0" borderId="0" xfId="0" applyNumberFormat="1" applyFont="1" applyAlignment="1">
      <alignment horizontal="center" vertical="center"/>
    </xf>
    <xf numFmtId="165" fontId="12" fillId="0" borderId="0" xfId="0" applyNumberFormat="1" applyFont="1" applyAlignment="1">
      <alignment horizontal="center" vertical="center"/>
    </xf>
    <xf numFmtId="1" fontId="12" fillId="0" borderId="5" xfId="0" applyNumberFormat="1" applyFont="1" applyBorder="1" applyAlignment="1">
      <alignment horizontal="center"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0" fillId="0" borderId="0" xfId="0" applyNumberFormat="1" applyAlignment="1">
      <alignment horizontal="center"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1" fontId="12" fillId="0" borderId="6" xfId="0" applyNumberFormat="1" applyFont="1" applyBorder="1" applyAlignment="1">
      <alignment horizontal="center" vertical="center" wrapText="1"/>
    </xf>
    <xf numFmtId="1" fontId="12" fillId="0" borderId="6" xfId="0" applyNumberFormat="1" applyFont="1" applyBorder="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7" xfId="6" applyFont="1" applyBorder="1" applyAlignment="1">
      <alignment horizontal="left" vertical="center" wrapText="1"/>
    </xf>
    <xf numFmtId="0" fontId="25" fillId="0" borderId="7" xfId="6" applyFont="1" applyBorder="1" applyAlignment="1">
      <alignment horizontal="center" vertical="center" wrapText="1"/>
    </xf>
    <xf numFmtId="0" fontId="23" fillId="7" borderId="7" xfId="6" applyFont="1" applyFill="1" applyBorder="1" applyAlignment="1">
      <alignment horizontal="center"/>
    </xf>
    <xf numFmtId="49" fontId="9" fillId="2" borderId="0" xfId="0" applyNumberFormat="1" applyFont="1" applyFill="1" applyAlignment="1">
      <alignment horizontal="left" vertical="center"/>
    </xf>
    <xf numFmtId="1" fontId="17" fillId="0" borderId="4" xfId="0" applyNumberFormat="1" applyFont="1" applyBorder="1" applyAlignment="1">
      <alignment horizontal="center" vertical="top"/>
    </xf>
    <xf numFmtId="164" fontId="17" fillId="0" borderId="4" xfId="0" applyNumberFormat="1" applyFont="1" applyBorder="1" applyAlignment="1">
      <alignment vertical="top"/>
    </xf>
    <xf numFmtId="1" fontId="17" fillId="0" borderId="0" xfId="0" applyNumberFormat="1" applyFont="1" applyAlignment="1">
      <alignment horizontal="center" vertical="top"/>
    </xf>
    <xf numFmtId="164" fontId="17" fillId="0" borderId="0" xfId="0" applyNumberFormat="1" applyFont="1" applyAlignment="1">
      <alignment vertical="top"/>
    </xf>
    <xf numFmtId="164" fontId="17" fillId="0" borderId="2" xfId="0" applyNumberFormat="1" applyFont="1" applyBorder="1" applyAlignment="1">
      <alignment vertical="top"/>
    </xf>
    <xf numFmtId="166" fontId="12" fillId="0" borderId="6" xfId="0" applyNumberFormat="1" applyFont="1" applyBorder="1" applyAlignment="1">
      <alignment horizontal="center" vertical="center" wrapText="1"/>
    </xf>
    <xf numFmtId="166" fontId="0" fillId="0" borderId="6" xfId="0" applyNumberFormat="1" applyBorder="1" applyAlignment="1">
      <alignment horizontal="center" vertical="center"/>
    </xf>
    <xf numFmtId="166" fontId="12" fillId="0" borderId="6" xfId="0" applyNumberFormat="1" applyFont="1" applyBorder="1" applyAlignment="1">
      <alignment horizontal="center" vertical="center"/>
    </xf>
    <xf numFmtId="166" fontId="12" fillId="0" borderId="0" xfId="0" applyNumberFormat="1" applyFont="1" applyAlignment="1">
      <alignment horizontal="center" vertical="center" wrapText="1"/>
    </xf>
    <xf numFmtId="166" fontId="12" fillId="0" borderId="0" xfId="0" applyNumberFormat="1" applyFont="1" applyAlignment="1">
      <alignment horizontal="center" vertical="center"/>
    </xf>
    <xf numFmtId="0" fontId="18" fillId="0" borderId="0" xfId="0" applyFont="1" applyAlignment="1" applyProtection="1">
      <alignment vertical="center"/>
      <protection locked="0"/>
    </xf>
    <xf numFmtId="0" fontId="15" fillId="6" borderId="0" xfId="0" applyFont="1" applyFill="1" applyAlignment="1">
      <alignment horizontal="center" vertical="center" wrapText="1"/>
    </xf>
    <xf numFmtId="0" fontId="25" fillId="0" borderId="0" xfId="0" applyFont="1" applyAlignment="1">
      <alignment horizontal="left" vertical="center" wrapText="1"/>
    </xf>
    <xf numFmtId="0" fontId="25" fillId="0" borderId="7" xfId="6" applyFont="1" applyBorder="1" applyAlignment="1">
      <alignment horizontal="left" vertical="center" wrapText="1"/>
    </xf>
    <xf numFmtId="0" fontId="28" fillId="6" borderId="7" xfId="6" applyFont="1" applyFill="1" applyBorder="1" applyAlignment="1">
      <alignment horizontal="left" vertical="center"/>
    </xf>
    <xf numFmtId="0" fontId="25" fillId="0" borderId="7" xfId="6" applyFont="1" applyBorder="1" applyAlignment="1">
      <alignment horizontal="center" vertical="center" wrapText="1"/>
    </xf>
    <xf numFmtId="0" fontId="28" fillId="6" borderId="7" xfId="6" applyFont="1" applyFill="1" applyBorder="1" applyAlignment="1">
      <alignment horizontal="left"/>
    </xf>
    <xf numFmtId="0" fontId="22" fillId="0" borderId="7" xfId="6" applyFont="1" applyBorder="1" applyAlignment="1">
      <alignment horizontal="left" vertical="center" wrapText="1"/>
    </xf>
  </cellXfs>
  <cellStyles count="7">
    <cellStyle name="Normal" xfId="0" builtinId="0"/>
    <cellStyle name="Normal 2 2" xfId="1" xr:uid="{00000000-0005-0000-0000-000001000000}"/>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65">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5.xml.rels><?xml version="1.0" encoding="UTF-8" standalone="yes"?>
<Relationships xmlns="http://schemas.openxmlformats.org/package/2006/relationships"><Relationship Id="rId2" Type="http://schemas.microsoft.com/office/2011/relationships/chartColorStyle" Target="colors55.xml"/><Relationship Id="rId1" Type="http://schemas.microsoft.com/office/2011/relationships/chartStyle" Target="style55.xml"/></Relationships>
</file>

<file path=xl/charts/_rels/chart56.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7.xml.rels><?xml version="1.0" encoding="UTF-8" standalone="yes"?>
<Relationships xmlns="http://schemas.openxmlformats.org/package/2006/relationships"><Relationship Id="rId2" Type="http://schemas.microsoft.com/office/2011/relationships/chartColorStyle" Target="colors57.xml"/><Relationship Id="rId1" Type="http://schemas.microsoft.com/office/2011/relationships/chartStyle" Target="style57.xml"/></Relationships>
</file>

<file path=xl/charts/_rels/chart58.xml.rels><?xml version="1.0" encoding="UTF-8" standalone="yes"?>
<Relationships xmlns="http://schemas.openxmlformats.org/package/2006/relationships"><Relationship Id="rId2" Type="http://schemas.microsoft.com/office/2011/relationships/chartColorStyle" Target="colors58.xml"/><Relationship Id="rId1" Type="http://schemas.microsoft.com/office/2011/relationships/chartStyle" Target="style58.xml"/></Relationships>
</file>

<file path=xl/charts/_rels/chart59.xml.rels><?xml version="1.0" encoding="UTF-8" standalone="yes"?>
<Relationships xmlns="http://schemas.openxmlformats.org/package/2006/relationships"><Relationship Id="rId2" Type="http://schemas.microsoft.com/office/2011/relationships/chartColorStyle" Target="colors59.xml"/><Relationship Id="rId1" Type="http://schemas.microsoft.com/office/2011/relationships/chartStyle" Target="style59.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2" Type="http://schemas.microsoft.com/office/2011/relationships/chartColorStyle" Target="colors60.xml"/><Relationship Id="rId1" Type="http://schemas.microsoft.com/office/2011/relationships/chartStyle" Target="style60.xml"/></Relationships>
</file>

<file path=xl/charts/_rels/chart61.xml.rels><?xml version="1.0" encoding="UTF-8" standalone="yes"?>
<Relationships xmlns="http://schemas.openxmlformats.org/package/2006/relationships"><Relationship Id="rId2" Type="http://schemas.microsoft.com/office/2011/relationships/chartColorStyle" Target="colors61.xml"/><Relationship Id="rId1" Type="http://schemas.microsoft.com/office/2011/relationships/chartStyle" Target="style61.xml"/></Relationships>
</file>

<file path=xl/charts/_rels/chart62.xml.rels><?xml version="1.0" encoding="UTF-8" standalone="yes"?>
<Relationships xmlns="http://schemas.openxmlformats.org/package/2006/relationships"><Relationship Id="rId2" Type="http://schemas.microsoft.com/office/2011/relationships/chartColorStyle" Target="colors62.xml"/><Relationship Id="rId1" Type="http://schemas.microsoft.com/office/2011/relationships/chartStyle" Target="style62.xml"/></Relationships>
</file>

<file path=xl/charts/_rels/chart63.xml.rels><?xml version="1.0" encoding="UTF-8" standalone="yes"?>
<Relationships xmlns="http://schemas.openxmlformats.org/package/2006/relationships"><Relationship Id="rId2" Type="http://schemas.microsoft.com/office/2011/relationships/chartColorStyle" Target="colors63.xml"/><Relationship Id="rId1" Type="http://schemas.microsoft.com/office/2011/relationships/chartStyle" Target="style63.xml"/></Relationships>
</file>

<file path=xl/charts/_rels/chart64.xml.rels><?xml version="1.0" encoding="UTF-8" standalone="yes"?>
<Relationships xmlns="http://schemas.openxmlformats.org/package/2006/relationships"><Relationship Id="rId2" Type="http://schemas.microsoft.com/office/2011/relationships/chartColorStyle" Target="colors64.xml"/><Relationship Id="rId1" Type="http://schemas.microsoft.com/office/2011/relationships/chartStyle" Target="style64.xml"/></Relationships>
</file>

<file path=xl/charts/_rels/chart65.xml.rels><?xml version="1.0" encoding="UTF-8" standalone="yes"?>
<Relationships xmlns="http://schemas.openxmlformats.org/package/2006/relationships"><Relationship Id="rId2" Type="http://schemas.microsoft.com/office/2011/relationships/chartColorStyle" Target="colors65.xml"/><Relationship Id="rId1" Type="http://schemas.microsoft.com/office/2011/relationships/chartStyle" Target="style65.xml"/></Relationships>
</file>

<file path=xl/charts/_rels/chart66.xml.rels><?xml version="1.0" encoding="UTF-8" standalone="yes"?>
<Relationships xmlns="http://schemas.openxmlformats.org/package/2006/relationships"><Relationship Id="rId2" Type="http://schemas.microsoft.com/office/2011/relationships/chartColorStyle" Target="colors66.xml"/><Relationship Id="rId1" Type="http://schemas.microsoft.com/office/2011/relationships/chartStyle" Target="style66.xml"/></Relationships>
</file>

<file path=xl/charts/_rels/chart67.xml.rels><?xml version="1.0" encoding="UTF-8" standalone="yes"?>
<Relationships xmlns="http://schemas.openxmlformats.org/package/2006/relationships"><Relationship Id="rId2" Type="http://schemas.microsoft.com/office/2011/relationships/chartColorStyle" Target="colors67.xml"/><Relationship Id="rId1" Type="http://schemas.microsoft.com/office/2011/relationships/chartStyle" Target="style67.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0.17680000000000001</c:v>
                </c:pt>
                <c:pt idx="1">
                  <c:v>0.16420000000000001</c:v>
                </c:pt>
                <c:pt idx="2">
                  <c:v>0</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(Profile!$A$142,Profile!$D$142,Profile!$F$142)</c:f>
              <c:strCache>
                <c:ptCount val="3"/>
                <c:pt idx="0">
                  <c:v>Target</c:v>
                </c:pt>
                <c:pt idx="1">
                  <c:v>State</c:v>
                </c:pt>
                <c:pt idx="2">
                  <c:v>Score</c:v>
                </c:pt>
              </c:strCache>
            </c:strRef>
          </c:cat>
          <c:val>
            <c:numRef>
              <c:f>(Profile!$C$142,Profile!$E$142,Profile!$G$142)</c:f>
              <c:numCache>
                <c:formatCode>0.00%</c:formatCode>
                <c:ptCount val="3"/>
                <c:pt idx="0">
                  <c:v>0.5948</c:v>
                </c:pt>
                <c:pt idx="1">
                  <c:v>0.51590000000000003</c:v>
                </c:pt>
                <c:pt idx="2">
                  <c:v>0.68420000000000003</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(Profile!$A$146,Profile!$D$146,Profile!$F$146)</c:f>
              <c:strCache>
                <c:ptCount val="3"/>
                <c:pt idx="0">
                  <c:v>Target</c:v>
                </c:pt>
                <c:pt idx="1">
                  <c:v>State</c:v>
                </c:pt>
                <c:pt idx="2">
                  <c:v>Score</c:v>
                </c:pt>
              </c:strCache>
            </c:strRef>
          </c:cat>
          <c:val>
            <c:numRef>
              <c:f>(Profile!$C$146,Profile!$E$146,Profile!$G$146)</c:f>
              <c:numCache>
                <c:formatCode>0.00%</c:formatCode>
                <c:ptCount val="3"/>
                <c:pt idx="0">
                  <c:v>0.85350000000000004</c:v>
                </c:pt>
                <c:pt idx="1">
                  <c:v>0.84350000000000003</c:v>
                </c:pt>
                <c:pt idx="2">
                  <c:v>0.86670000000000003</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(Profile!$A$150,Profile!$D$150,Profile!$F$150)</c:f>
              <c:strCache>
                <c:ptCount val="3"/>
                <c:pt idx="0">
                  <c:v>Target</c:v>
                </c:pt>
                <c:pt idx="1">
                  <c:v>State</c:v>
                </c:pt>
                <c:pt idx="2">
                  <c:v>Score</c:v>
                </c:pt>
              </c:strCache>
            </c:strRef>
          </c:cat>
          <c:val>
            <c:numRef>
              <c:f>(Profile!$C$150,Profile!$E$150,Profile!$G$150)</c:f>
              <c:numCache>
                <c:formatCode>0.00%</c:formatCode>
                <c:ptCount val="3"/>
                <c:pt idx="0">
                  <c:v>0.57399999999999995</c:v>
                </c:pt>
                <c:pt idx="1">
                  <c:v>0.52629999999999999</c:v>
                </c:pt>
                <c:pt idx="2">
                  <c:v>0.47370000000000001</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(Profile!$A$154,Profile!$D$154,Profile!$F$154)</c:f>
              <c:strCache>
                <c:ptCount val="3"/>
                <c:pt idx="0">
                  <c:v>Target</c:v>
                </c:pt>
                <c:pt idx="1">
                  <c:v>State</c:v>
                </c:pt>
                <c:pt idx="2">
                  <c:v>Score</c:v>
                </c:pt>
              </c:strCache>
            </c:strRef>
          </c:cat>
          <c:val>
            <c:numRef>
              <c:f>(Profile!$C$154,Profile!$E$154,Profile!$G$154)</c:f>
              <c:numCache>
                <c:formatCode>0.00%</c:formatCode>
                <c:ptCount val="3"/>
                <c:pt idx="0">
                  <c:v>0.88439999999999996</c:v>
                </c:pt>
                <c:pt idx="1">
                  <c:v>0.86119999999999997</c:v>
                </c:pt>
                <c:pt idx="2">
                  <c:v>0.9375</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(Profile!$A$180,Profile!$D$180,Profile!$F$180)</c:f>
              <c:strCache>
                <c:ptCount val="3"/>
                <c:pt idx="0">
                  <c:v>Target</c:v>
                </c:pt>
                <c:pt idx="1">
                  <c:v>State</c:v>
                </c:pt>
                <c:pt idx="2">
                  <c:v>Score</c:v>
                </c:pt>
              </c:strCache>
            </c:strRef>
          </c:cat>
          <c:val>
            <c:numRef>
              <c:f>(Profile!$C$180,Profile!$E$180,Profile!$G$180)</c:f>
              <c:numCache>
                <c:formatCode>0.00%</c:formatCode>
                <c:ptCount val="3"/>
                <c:pt idx="0">
                  <c:v>1</c:v>
                </c:pt>
                <c:pt idx="1">
                  <c:v>0.995</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4B7-49B3-B185-A1FCF2C553E3}"/>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0.41299999999999998</c:v>
                </c:pt>
                <c:pt idx="1">
                  <c:v>0.46089999999999998</c:v>
                </c:pt>
                <c:pt idx="2">
                  <c:v>0.85709999999999997</c:v>
                </c:pt>
              </c:numCache>
            </c:numRef>
          </c:val>
          <c:extLst>
            <c:ext xmlns:c16="http://schemas.microsoft.com/office/drawing/2014/chart" uri="{C3380CC4-5D6E-409C-BE32-E72D297353CC}">
              <c16:uniqueId val="{00000002-14B7-49B3-B185-A1FCF2C553E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(Profile!$A$158,Profile!$D$158,Profile!$F$158)</c:f>
              <c:strCache>
                <c:ptCount val="3"/>
                <c:pt idx="0">
                  <c:v>Target</c:v>
                </c:pt>
                <c:pt idx="1">
                  <c:v>State</c:v>
                </c:pt>
                <c:pt idx="2">
                  <c:v>Score</c:v>
                </c:pt>
              </c:strCache>
            </c:strRef>
          </c:cat>
          <c:val>
            <c:numRef>
              <c:f>(Profile!$C$158,Profile!$E$158,Profile!$G$158)</c:f>
              <c:numCache>
                <c:formatCode>0.00%</c:formatCode>
                <c:ptCount val="3"/>
                <c:pt idx="0">
                  <c:v>0.74080000000000001</c:v>
                </c:pt>
                <c:pt idx="1">
                  <c:v>0.64880000000000004</c:v>
                </c:pt>
                <c:pt idx="2">
                  <c:v>0.73680000000000001</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0.86</c:v>
                </c:pt>
                <c:pt idx="1">
                  <c:v>0.98399999999999999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0.98632154882154899</c:v>
                </c:pt>
                <c:pt idx="2">
                  <c:v>0.97435897435897401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0.96262103129925702</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0D-4358-BEA4-1D7461197175}"/>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0.52</c:v>
                </c:pt>
                <c:pt idx="1">
                  <c:v>0.4955</c:v>
                </c:pt>
                <c:pt idx="2">
                  <c:v>0</c:v>
                </c:pt>
              </c:numCache>
            </c:numRef>
          </c:val>
          <c:extLst>
            <c:ext xmlns:c16="http://schemas.microsoft.com/office/drawing/2014/chart" uri="{C3380CC4-5D6E-409C-BE32-E72D297353CC}">
              <c16:uniqueId val="{00000002-EE0D-4358-BEA4-1D7461197175}"/>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0.94532604347246296</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0.96395584591124095</c:v>
                </c:pt>
                <c:pt idx="2">
                  <c:v>1</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0.93026793026792998</c:v>
                </c:pt>
                <c:pt idx="2">
                  <c:v>1</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0.18709999999999999</c:v>
                </c:pt>
                <c:pt idx="1">
                  <c:v>0.181623208037025</c:v>
                </c:pt>
                <c:pt idx="2">
                  <c:v>0.14285714285714299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9.3399999999999997E-2</c:v>
                </c:pt>
                <c:pt idx="1">
                  <c:v>7.9030028898102803E-2</c:v>
                </c:pt>
                <c:pt idx="2">
                  <c:v>6.6666666666666693E-2</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0.4481</c:v>
                </c:pt>
                <c:pt idx="1">
                  <c:v>0.471812794408145</c:v>
                </c:pt>
                <c:pt idx="2">
                  <c:v>0.31034482758620702</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0.18390000000000001</c:v>
                </c:pt>
                <c:pt idx="1">
                  <c:v>0.17309427153811499</c:v>
                </c:pt>
                <c:pt idx="2">
                  <c:v>8.5714285714285701E-2</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6.3799999999999996E-2</c:v>
                </c:pt>
                <c:pt idx="1">
                  <c:v>4.4263322884012503E-2</c:v>
                </c:pt>
                <c:pt idx="2">
                  <c:v>6.6666666666666693E-2</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0.2457</c:v>
                </c:pt>
                <c:pt idx="1">
                  <c:v>0.29508862129617103</c:v>
                </c:pt>
                <c:pt idx="2">
                  <c:v>2.7777777777777801E-2</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0.54459999999999997</c:v>
                </c:pt>
                <c:pt idx="1">
                  <c:v>0.39029126213592202</c:v>
                </c:pt>
                <c:pt idx="2">
                  <c:v>0.33333333333333298</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(Profile!$A$118,Profile!$D$118,Profile!$F$118)</c:f>
              <c:strCache>
                <c:ptCount val="3"/>
                <c:pt idx="0">
                  <c:v>Target</c:v>
                </c:pt>
                <c:pt idx="1">
                  <c:v>State</c:v>
                </c:pt>
                <c:pt idx="2">
                  <c:v>Score</c:v>
                </c:pt>
              </c:strCache>
            </c:strRef>
          </c:cat>
          <c:val>
            <c:numRef>
              <c:f>(Profile!$C$118,Profile!$E$118,Profile!$G$118)</c:f>
              <c:numCache>
                <c:formatCode>0.00%</c:formatCode>
                <c:ptCount val="3"/>
                <c:pt idx="0">
                  <c:v>0.4148</c:v>
                </c:pt>
                <c:pt idx="1">
                  <c:v>0.441</c:v>
                </c:pt>
                <c:pt idx="2">
                  <c:v>0</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0.37259999999999999</c:v>
                </c:pt>
                <c:pt idx="1">
                  <c:v>0.32656514382402702</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0.37980000000000003</c:v>
                </c:pt>
                <c:pt idx="1">
                  <c:v>0.34645669291338599</c:v>
                </c:pt>
                <c:pt idx="2">
                  <c:v>0</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0.42699999999999999</c:v>
                </c:pt>
                <c:pt idx="1">
                  <c:v>0.36575875486381298</c:v>
                </c:pt>
                <c:pt idx="2">
                  <c:v>0.66666666666666696</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0.37980000000000003</c:v>
                </c:pt>
                <c:pt idx="1">
                  <c:v>0.35677530017152698</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0.3916</c:v>
                </c:pt>
                <c:pt idx="1">
                  <c:v>0.35178571428571398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0.2853</c:v>
                </c:pt>
                <c:pt idx="1">
                  <c:v>0.32219873042178498</c:v>
                </c:pt>
                <c:pt idx="2">
                  <c:v>0.27649769585253497</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0.33810000000000001</c:v>
                </c:pt>
                <c:pt idx="1">
                  <c:v>0.38013086536012902</c:v>
                </c:pt>
                <c:pt idx="2">
                  <c:v>0.27728237791932098</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0.37680000000000002</c:v>
                </c:pt>
                <c:pt idx="1">
                  <c:v>0.375883003512825</c:v>
                </c:pt>
                <c:pt idx="2">
                  <c:v>0.333826951554897</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0.24260000000000001</c:v>
                </c:pt>
                <c:pt idx="1">
                  <c:v>0.26071778519947397</c:v>
                </c:pt>
                <c:pt idx="2">
                  <c:v>0.36052227342549897</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0.2477</c:v>
                </c:pt>
                <c:pt idx="1">
                  <c:v>0.257630585454103</c:v>
                </c:pt>
                <c:pt idx="2">
                  <c:v>0.247435897435897</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264-464A-9712-EBBE99B1EA6B}"/>
              </c:ext>
            </c:extLst>
          </c:dPt>
          <c:cat>
            <c:strRef>
              <c:f>(Profile!$A$121,Profile!$D$121,Profile!$F$121)</c:f>
              <c:strCache>
                <c:ptCount val="3"/>
                <c:pt idx="0">
                  <c:v>Target</c:v>
                </c:pt>
                <c:pt idx="1">
                  <c:v>State</c:v>
                </c:pt>
                <c:pt idx="2">
                  <c:v>Score</c:v>
                </c:pt>
              </c:strCache>
            </c:strRef>
          </c:cat>
          <c:val>
            <c:numRef>
              <c:f>(Profile!$C$121,Profile!$E$121,Profile!$G$121)</c:f>
              <c:numCache>
                <c:formatCode>0.00%</c:formatCode>
                <c:ptCount val="3"/>
                <c:pt idx="0">
                  <c:v>0.27439999999999998</c:v>
                </c:pt>
                <c:pt idx="1">
                  <c:v>0.28610000000000002</c:v>
                </c:pt>
                <c:pt idx="2">
                  <c:v>0.45450000000000002</c:v>
                </c:pt>
              </c:numCache>
            </c:numRef>
          </c:val>
          <c:extLst>
            <c:ext xmlns:c16="http://schemas.microsoft.com/office/drawing/2014/chart" uri="{C3380CC4-5D6E-409C-BE32-E72D297353CC}">
              <c16:uniqueId val="{00000002-6264-464A-9712-EBBE99B1EA6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0.25679999999999997</c:v>
                </c:pt>
                <c:pt idx="1">
                  <c:v>0.27764968824458303</c:v>
                </c:pt>
                <c:pt idx="2">
                  <c:v>0.29244694132334598</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0.6361</c:v>
                </c:pt>
                <c:pt idx="1">
                  <c:v>0.64070000000000005</c:v>
                </c:pt>
                <c:pt idx="2">
                  <c:v>0.69120000000000004</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0.1439</c:v>
                </c:pt>
                <c:pt idx="1">
                  <c:v>0.14849999999999999</c:v>
                </c:pt>
                <c:pt idx="2">
                  <c:v>0.13880000000000001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1</c:v>
                </c:pt>
                <c:pt idx="1">
                  <c:v>0.99250000000000005</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(Profile!$A$189,Profile!$D$189,Profile!$F$189)</c:f>
              <c:strCache>
                <c:ptCount val="3"/>
                <c:pt idx="0">
                  <c:v>Target</c:v>
                </c:pt>
                <c:pt idx="1">
                  <c:v>State</c:v>
                </c:pt>
                <c:pt idx="2">
                  <c:v>Score</c:v>
                </c:pt>
              </c:strCache>
            </c:strRef>
          </c:cat>
          <c:val>
            <c:numRef>
              <c:f>(Profile!$C$189,Profile!$E$189,Profile!$G$189)</c:f>
              <c:numCache>
                <c:formatCode>0.00%</c:formatCode>
                <c:ptCount val="3"/>
                <c:pt idx="0">
                  <c:v>0.11360000000000001</c:v>
                </c:pt>
                <c:pt idx="1">
                  <c:v>0.2455</c:v>
                </c:pt>
                <c:pt idx="2">
                  <c:v>0.33329999999999999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(Profile!$A$193,Profile!$D$193,Profile!$F$193)</c:f>
              <c:strCache>
                <c:ptCount val="3"/>
                <c:pt idx="0">
                  <c:v>Target</c:v>
                </c:pt>
                <c:pt idx="1">
                  <c:v>State</c:v>
                </c:pt>
                <c:pt idx="2">
                  <c:v>Score</c:v>
                </c:pt>
              </c:strCache>
            </c:strRef>
          </c:cat>
          <c:val>
            <c:numRef>
              <c:f>(Profile!$C$193,Profile!$E$193,Profile!$G$193)</c:f>
              <c:numCache>
                <c:formatCode>0.00%</c:formatCode>
                <c:ptCount val="3"/>
                <c:pt idx="0">
                  <c:v>0.40889999999999999</c:v>
                </c:pt>
                <c:pt idx="1">
                  <c:v>0.67879999999999996</c:v>
                </c:pt>
                <c:pt idx="2">
                  <c:v>0.66669999999999996</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(Profile!$A$197,Profile!$D$197,Profile!$F$197)</c:f>
              <c:strCache>
                <c:ptCount val="3"/>
                <c:pt idx="0">
                  <c:v>Target</c:v>
                </c:pt>
                <c:pt idx="1">
                  <c:v>State</c:v>
                </c:pt>
                <c:pt idx="2">
                  <c:v>Score</c:v>
                </c:pt>
              </c:strCache>
            </c:strRef>
          </c:cat>
          <c:val>
            <c:numRef>
              <c:f>(Profile!$C$197,Profile!$E$197,Profile!$G$197)</c:f>
              <c:numCache>
                <c:formatCode>0.00%</c:formatCode>
                <c:ptCount val="3"/>
                <c:pt idx="0">
                  <c:v>0.84460000000000002</c:v>
                </c:pt>
                <c:pt idx="1">
                  <c:v>0.74050000000000005</c:v>
                </c:pt>
                <c:pt idx="2">
                  <c:v>0.75</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(Profile!$A$184,Profile!$D$184,Profile!$F$184)</c:f>
              <c:strCache>
                <c:ptCount val="3"/>
                <c:pt idx="0">
                  <c:v>Target</c:v>
                </c:pt>
                <c:pt idx="1">
                  <c:v>State</c:v>
                </c:pt>
                <c:pt idx="2">
                  <c:v>Score</c:v>
                </c:pt>
              </c:strCache>
            </c:strRef>
          </c:cat>
          <c:val>
            <c:numRef>
              <c:f>(Profile!$C$184,Profile!$E$184,Profile!$G$184)</c:f>
              <c:numCache>
                <c:formatCode>0.00%</c:formatCode>
                <c:ptCount val="3"/>
                <c:pt idx="0">
                  <c:v>1</c:v>
                </c:pt>
                <c:pt idx="1">
                  <c:v>0.95350000000000001</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0.23730000000000001</c:v>
                </c:pt>
                <c:pt idx="1">
                  <c:v>0.31619999999999998</c:v>
                </c:pt>
                <c:pt idx="2">
                  <c:v>0.39290000000000003</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0.60389999999999999</c:v>
                </c:pt>
                <c:pt idx="1">
                  <c:v>0.51619999999999999</c:v>
                </c:pt>
                <c:pt idx="2">
                  <c:v>0.46429999999999999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945-48CE-85A3-F705F95BFFBF}"/>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0.20100000000000001</c:v>
                </c:pt>
                <c:pt idx="1">
                  <c:v>9.1999999999999998E-3</c:v>
                </c:pt>
                <c:pt idx="2">
                  <c:v>0</c:v>
                </c:pt>
              </c:numCache>
            </c:numRef>
          </c:val>
          <c:extLst>
            <c:ext xmlns:c16="http://schemas.microsoft.com/office/drawing/2014/chart" uri="{C3380CC4-5D6E-409C-BE32-E72D297353CC}">
              <c16:uniqueId val="{00000002-0945-48CE-85A3-F705F95BFFB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1.18E-2</c:v>
                </c:pt>
                <c:pt idx="1">
                  <c:v>1.47E-2</c:v>
                </c:pt>
                <c:pt idx="2">
                  <c:v>1.1299999999999999E-2</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0.98726717878564696</c:v>
                </c:pt>
                <c:pt idx="2">
                  <c:v>0.97435897435897401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Determination'!$B$38:$B$41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463-4165-898F-56315C8618F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463-4165-898F-56315C8618F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463-4165-898F-56315C8618F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463-4165-898F-56315C8618F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Determination'!$C$38:$C$41</c:f>
              <c:numCache>
                <c:formatCode>0.00%</c:formatCode>
                <c:ptCount val="4"/>
                <c:pt idx="0">
                  <c:v>0.1462</c:v>
                </c:pt>
                <c:pt idx="1">
                  <c:v>0.1331</c:v>
                </c:pt>
                <c:pt idx="2">
                  <c:v>0.1242</c:v>
                </c:pt>
                <c:pt idx="3">
                  <c:v>0.1331</c:v>
                </c:pt>
              </c:numCache>
            </c:numRef>
          </c:val>
          <c:extLst>
            <c:ext xmlns:c16="http://schemas.microsoft.com/office/drawing/2014/chart" uri="{C3380CC4-5D6E-409C-BE32-E72D297353CC}">
              <c16:uniqueId val="{00000008-8463-4165-898F-56315C8618F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Determination'!$B$30:$B$33</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3CC-425D-B331-94238421EC47}"/>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3CC-425D-B331-94238421EC47}"/>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3CC-425D-B331-94238421EC47}"/>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3CC-425D-B331-94238421EC47}"/>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Determination'!$C$30:$C$33</c:f>
              <c:numCache>
                <c:formatCode>0.00%</c:formatCode>
                <c:ptCount val="4"/>
                <c:pt idx="0">
                  <c:v>0.60389999999999999</c:v>
                </c:pt>
                <c:pt idx="1">
                  <c:v>0.51619999999999999</c:v>
                </c:pt>
                <c:pt idx="2">
                  <c:v>0.51619999999999999</c:v>
                </c:pt>
                <c:pt idx="3">
                  <c:v>0.55549999999999999</c:v>
                </c:pt>
              </c:numCache>
            </c:numRef>
          </c:val>
          <c:extLst>
            <c:ext xmlns:c16="http://schemas.microsoft.com/office/drawing/2014/chart" uri="{C3380CC4-5D6E-409C-BE32-E72D297353CC}">
              <c16:uniqueId val="{00000008-33CC-425D-B331-94238421EC47}"/>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Determination'!$B$46:$B$49</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9E6C-47D3-9285-E110E82349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9E6C-47D3-9285-E110E82349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9E6C-47D3-9285-E110E82349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9E6C-47D3-9285-E110E8234986}"/>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Determination'!$C$46:$C$49</c:f>
              <c:numCache>
                <c:formatCode>0.00%</c:formatCode>
                <c:ptCount val="4"/>
                <c:pt idx="0">
                  <c:v>0.13269999999999998</c:v>
                </c:pt>
                <c:pt idx="1">
                  <c:v>0.11210000000000001</c:v>
                </c:pt>
                <c:pt idx="2">
                  <c:v>0.1157</c:v>
                </c:pt>
                <c:pt idx="3">
                  <c:v>0.11210000000000001</c:v>
                </c:pt>
              </c:numCache>
            </c:numRef>
          </c:val>
          <c:extLst>
            <c:ext xmlns:c16="http://schemas.microsoft.com/office/drawing/2014/chart" uri="{C3380CC4-5D6E-409C-BE32-E72D297353CC}">
              <c16:uniqueId val="{00000008-9E6C-47D3-9285-E110E82349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Determination'!$B$54:$B$57</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A01D-478C-B680-3435C08AA2BB}"/>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A01D-478C-B680-3435C08AA2BB}"/>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A01D-478C-B680-3435C08AA2BB}"/>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A01D-478C-B680-3435C08AA2BB}"/>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Determination'!$C$54:$C$57</c:f>
              <c:numCache>
                <c:formatCode>0.00%</c:formatCode>
                <c:ptCount val="4"/>
                <c:pt idx="0">
                  <c:v>0.1439</c:v>
                </c:pt>
                <c:pt idx="1">
                  <c:v>0.14849999999999999</c:v>
                </c:pt>
                <c:pt idx="2">
                  <c:v>0.15340000000000001</c:v>
                </c:pt>
                <c:pt idx="3">
                  <c:v>0.14849999999999999</c:v>
                </c:pt>
              </c:numCache>
            </c:numRef>
          </c:val>
          <c:extLst>
            <c:ext xmlns:c16="http://schemas.microsoft.com/office/drawing/2014/chart" uri="{C3380CC4-5D6E-409C-BE32-E72D297353CC}">
              <c16:uniqueId val="{00000008-A01D-478C-B680-3435C08AA2BB}"/>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Determination'!$B$62:$B$65</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E9-4687-89F6-C931CA04991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E9-4687-89F6-C931CA04991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E9-4687-89F6-C931CA04991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E9-4687-89F6-C931CA04991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Determination'!$C$62:$C$65</c:f>
              <c:numCache>
                <c:formatCode>0.00%</c:formatCode>
                <c:ptCount val="4"/>
                <c:pt idx="0">
                  <c:v>0.3105</c:v>
                </c:pt>
                <c:pt idx="1">
                  <c:v>0.34139999999999998</c:v>
                </c:pt>
                <c:pt idx="2">
                  <c:v>0.3125</c:v>
                </c:pt>
                <c:pt idx="3">
                  <c:v>0.34139999999999998</c:v>
                </c:pt>
              </c:numCache>
            </c:numRef>
          </c:val>
          <c:extLst>
            <c:ext xmlns:c16="http://schemas.microsoft.com/office/drawing/2014/chart" uri="{C3380CC4-5D6E-409C-BE32-E72D297353CC}">
              <c16:uniqueId val="{00000008-39E9-4687-89F6-C931CA04991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Determination'!$B$70:$B$73</c:f>
              <c:strCache>
                <c:ptCount val="4"/>
                <c:pt idx="0">
                  <c:v>&lt;=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DBDC-45FB-B532-BEFCED6D652C}"/>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DBDC-45FB-B532-BEFCED6D652C}"/>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DBDC-45FB-B532-BEFCED6D652C}"/>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DBDC-45FB-B532-BEFCED6D652C}"/>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Determination'!$C$70:$C$73</c:f>
              <c:numCache>
                <c:formatCode>0.00%</c:formatCode>
                <c:ptCount val="4"/>
                <c:pt idx="0">
                  <c:v>0.09</c:v>
                </c:pt>
                <c:pt idx="1">
                  <c:v>0.156</c:v>
                </c:pt>
                <c:pt idx="2">
                  <c:v>7.5200000000000003E-2</c:v>
                </c:pt>
                <c:pt idx="3">
                  <c:v>0.156</c:v>
                </c:pt>
              </c:numCache>
            </c:numRef>
          </c:val>
          <c:extLst>
            <c:ext xmlns:c16="http://schemas.microsoft.com/office/drawing/2014/chart" uri="{C3380CC4-5D6E-409C-BE32-E72D297353CC}">
              <c16:uniqueId val="{00000008-DBDC-45FB-B532-BEFCED6D652C}"/>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'Old Determination'!$B$78:$B$81</c:f>
              <c:strCache>
                <c:ptCount val="4"/>
                <c:pt idx="0">
                  <c:v>&gt;= Target</c:v>
                </c:pt>
                <c:pt idx="1">
                  <c:v>State 21-22</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E98-457B-9EE1-0C9CE0C3C03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E98-457B-9EE1-0C9CE0C3C03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E98-457B-9EE1-0C9CE0C3C03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E98-457B-9EE1-0C9CE0C3C03D}"/>
              </c:ext>
            </c:extLst>
          </c:dPt>
          <c:cat>
            <c:multiLvlStrRef>
              <c:f>'Old Determination'!$A$28:$B$33</c:f>
              <c:multiLvlStrCache>
                <c:ptCount val="6"/>
                <c:lvl>
                  <c:pt idx="0">
                    <c:v>2</c:v>
                  </c:pt>
                  <c:pt idx="2">
                    <c:v>&gt;= Target</c:v>
                  </c:pt>
                  <c:pt idx="3">
                    <c:v>State 21-22</c:v>
                  </c:pt>
                  <c:pt idx="4">
                    <c:v>LEA 20-21</c:v>
                  </c:pt>
                  <c:pt idx="5">
                    <c:v>LEA 21-22</c:v>
                  </c:pt>
                </c:lvl>
                <c:lvl>
                  <c:pt idx="0">
                    <c:v>Score</c:v>
                  </c:pt>
                </c:lvl>
              </c:multiLvlStrCache>
            </c:multiLvlStrRef>
          </c:cat>
          <c:val>
            <c:numRef>
              <c:f>'Old Determination'!$C$78:$C$81</c:f>
              <c:numCache>
                <c:formatCode>0.00%</c:formatCode>
                <c:ptCount val="4"/>
                <c:pt idx="0">
                  <c:v>0.3</c:v>
                </c:pt>
                <c:pt idx="1">
                  <c:v>0.29600000000000004</c:v>
                </c:pt>
                <c:pt idx="2">
                  <c:v>0.21199999999999999</c:v>
                </c:pt>
                <c:pt idx="3">
                  <c:v>0.29599999999999999</c:v>
                </c:pt>
              </c:numCache>
            </c:numRef>
          </c:val>
          <c:extLst>
            <c:ext xmlns:c16="http://schemas.microsoft.com/office/drawing/2014/chart" uri="{C3380CC4-5D6E-409C-BE32-E72D297353CC}">
              <c16:uniqueId val="{00000008-3E98-457B-9EE1-0C9CE0C3C03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Determination!$C$40:$C$43</c:f>
              <c:numCache>
                <c:formatCode>0.00%</c:formatCode>
                <c:ptCount val="4"/>
                <c:pt idx="0">
                  <c:v>0.25</c:v>
                </c:pt>
                <c:pt idx="1">
                  <c:v>0.18360000000000001</c:v>
                </c:pt>
                <c:pt idx="2">
                  <c:v>3.0300000000000001E-2</c:v>
                </c:pt>
                <c:pt idx="3">
                  <c:v>0.15790000000000001</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(Profile!$A$127,Profile!$D$127,Profile!$F$127)</c:f>
              <c:strCache>
                <c:ptCount val="3"/>
                <c:pt idx="0">
                  <c:v>Target</c:v>
                </c:pt>
                <c:pt idx="1">
                  <c:v>State</c:v>
                </c:pt>
                <c:pt idx="2">
                  <c:v>Score</c:v>
                </c:pt>
              </c:strCache>
            </c:strRef>
          </c:cat>
          <c:val>
            <c:numRef>
              <c:f>(Profile!$C$127,Profile!$E$127,Profile!$G$127)</c:f>
              <c:numCache>
                <c:formatCode>0.00%</c:formatCode>
                <c:ptCount val="3"/>
                <c:pt idx="0">
                  <c:v>4.53E-2</c:v>
                </c:pt>
                <c:pt idx="1">
                  <c:v>1.2999999999999999E-2</c:v>
                </c:pt>
                <c:pt idx="2">
                  <c:v>7.1400000000000005E-2</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Determination!$C$32:$C$35</c:f>
              <c:numCache>
                <c:formatCode>0.00%</c:formatCode>
                <c:ptCount val="4"/>
                <c:pt idx="0">
                  <c:v>0.7</c:v>
                </c:pt>
                <c:pt idx="1">
                  <c:v>0.53700000000000003</c:v>
                </c:pt>
                <c:pt idx="2">
                  <c:v>0.46429999999999999</c:v>
                </c:pt>
                <c:pt idx="3">
                  <c:v>0.52380000000000004</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Determination!$C$56:$C$59</c:f>
              <c:numCache>
                <c:formatCode>0.00%</c:formatCode>
                <c:ptCount val="4"/>
                <c:pt idx="0">
                  <c:v>0.22</c:v>
                </c:pt>
                <c:pt idx="1">
                  <c:v>0.20799999999999999</c:v>
                </c:pt>
                <c:pt idx="2">
                  <c:v>0.2424</c:v>
                </c:pt>
                <c:pt idx="3">
                  <c:v>0.13159999999999999</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Determination!$C$72:$C$75</c:f>
              <c:numCache>
                <c:formatCode>0.00%</c:formatCode>
                <c:ptCount val="4"/>
                <c:pt idx="0">
                  <c:v>0.7</c:v>
                </c:pt>
                <c:pt idx="1">
                  <c:v>0.63500000000000001</c:v>
                </c:pt>
                <c:pt idx="2">
                  <c:v>0.69820000000000004</c:v>
                </c:pt>
                <c:pt idx="3">
                  <c:v>0.69120000000000004</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Determination!$C$88:$C$91</c:f>
              <c:numCache>
                <c:formatCode>0.00%</c:formatCode>
                <c:ptCount val="4"/>
                <c:pt idx="0">
                  <c:v>0.09</c:v>
                </c:pt>
                <c:pt idx="1">
                  <c:v>0.156</c:v>
                </c:pt>
                <c:pt idx="2">
                  <c:v>0.105</c:v>
                </c:pt>
                <c:pt idx="3">
                  <c:v>0.1368</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Determination!$C$96:$C$99</c:f>
              <c:numCache>
                <c:formatCode>0.00%</c:formatCode>
                <c:ptCount val="4"/>
                <c:pt idx="0">
                  <c:v>0.4</c:v>
                </c:pt>
                <c:pt idx="1">
                  <c:v>0.29599999999999999</c:v>
                </c:pt>
                <c:pt idx="2">
                  <c:v>0.28100000000000003</c:v>
                </c:pt>
                <c:pt idx="3">
                  <c:v>0.19</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Determination!$C$48:$C$51</c:f>
              <c:numCache>
                <c:formatCode>0.00%</c:formatCode>
                <c:ptCount val="4"/>
                <c:pt idx="0">
                  <c:v>0.15</c:v>
                </c:pt>
                <c:pt idx="1">
                  <c:v>9.35E-2</c:v>
                </c:pt>
                <c:pt idx="2">
                  <c:v>9.3799999999999994E-2</c:v>
                </c:pt>
                <c:pt idx="3">
                  <c:v>6.6699999999999995E-2</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20-21</c:v>
                </c:pt>
                <c:pt idx="3">
                  <c:v>LEA 21-22</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20-21</c:v>
                  </c:pt>
                  <c:pt idx="5">
                    <c:v>LEA 21-22</c:v>
                  </c:pt>
                </c:lvl>
                <c:lvl>
                  <c:pt idx="0">
                    <c:v>Score</c:v>
                  </c:pt>
                </c:lvl>
              </c:multiLvlStrCache>
            </c:multiLvlStrRef>
          </c:cat>
          <c:val>
            <c:numRef>
              <c:f>Determination!$C$64:$C$67</c:f>
              <c:numCache>
                <c:formatCode>0.00%</c:formatCode>
                <c:ptCount val="4"/>
                <c:pt idx="0">
                  <c:v>0.1</c:v>
                </c:pt>
                <c:pt idx="1">
                  <c:v>7.7899999999999997E-2</c:v>
                </c:pt>
                <c:pt idx="2">
                  <c:v>3.1300000000000001E-2</c:v>
                </c:pt>
                <c:pt idx="3">
                  <c:v>6.6699999999999995E-2</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EF-435C-869A-230AAF77D7FB}"/>
              </c:ext>
            </c:extLst>
          </c:dPt>
          <c:cat>
            <c:strRef>
              <c:f>(Profile!$A$130,Profile!$D$130,Profile!$F$130)</c:f>
              <c:strCache>
                <c:ptCount val="3"/>
                <c:pt idx="0">
                  <c:v>Target</c:v>
                </c:pt>
                <c:pt idx="1">
                  <c:v>State</c:v>
                </c:pt>
                <c:pt idx="2">
                  <c:v>Score</c:v>
                </c:pt>
              </c:strCache>
            </c:strRef>
          </c:cat>
          <c:val>
            <c:numRef>
              <c:f>(Profile!$C$130,Profile!$E$130,Profile!$G$130)</c:f>
              <c:numCache>
                <c:formatCode>0.00%</c:formatCode>
                <c:ptCount val="3"/>
                <c:pt idx="0">
                  <c:v>2.9499999999999998E-2</c:v>
                </c:pt>
                <c:pt idx="1">
                  <c:v>9.1999999999999998E-3</c:v>
                </c:pt>
                <c:pt idx="2">
                  <c:v>0</c:v>
                </c:pt>
              </c:numCache>
            </c:numRef>
          </c:val>
          <c:extLst>
            <c:ext xmlns:c16="http://schemas.microsoft.com/office/drawing/2014/chart" uri="{C3380CC4-5D6E-409C-BE32-E72D297353CC}">
              <c16:uniqueId val="{00000002-98EF-435C-869A-230AAF77D7F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229-4BD2-8483-F16C12633FD7}"/>
              </c:ext>
            </c:extLst>
          </c:dPt>
          <c:cat>
            <c:strRef>
              <c:f>(Profile!$A$133,Profile!$D$133,Profile!$F$133)</c:f>
              <c:strCache>
                <c:ptCount val="3"/>
                <c:pt idx="0">
                  <c:v>Target</c:v>
                </c:pt>
                <c:pt idx="1">
                  <c:v>State</c:v>
                </c:pt>
                <c:pt idx="2">
                  <c:v>Score</c:v>
                </c:pt>
              </c:strCache>
            </c:strRef>
          </c:cat>
          <c:val>
            <c:numRef>
              <c:f>(Profile!$C$133,Profile!$E$133,Profile!$G$133)</c:f>
              <c:numCache>
                <c:formatCode>0.00%</c:formatCode>
                <c:ptCount val="3"/>
                <c:pt idx="0">
                  <c:v>3.0099999999999998E-2</c:v>
                </c:pt>
                <c:pt idx="1">
                  <c:v>7.6E-3</c:v>
                </c:pt>
                <c:pt idx="2">
                  <c:v>0</c:v>
                </c:pt>
              </c:numCache>
            </c:numRef>
          </c:val>
          <c:extLst>
            <c:ext xmlns:c16="http://schemas.microsoft.com/office/drawing/2014/chart" uri="{C3380CC4-5D6E-409C-BE32-E72D297353CC}">
              <c16:uniqueId val="{00000002-5229-4BD2-8483-F16C12633FD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(Profile!$A$138,Profile!$D$138,Profile!$F$138)</c:f>
              <c:strCache>
                <c:ptCount val="3"/>
                <c:pt idx="0">
                  <c:v>Target</c:v>
                </c:pt>
                <c:pt idx="1">
                  <c:v>State</c:v>
                </c:pt>
                <c:pt idx="2">
                  <c:v>Score</c:v>
                </c:pt>
              </c:strCache>
            </c:strRef>
          </c:cat>
          <c:val>
            <c:numRef>
              <c:f>(Profile!$C$138,Profile!$E$138,Profile!$G$138)</c:f>
              <c:numCache>
                <c:formatCode>0.00%</c:formatCode>
                <c:ptCount val="3"/>
                <c:pt idx="0">
                  <c:v>0.86450000000000005</c:v>
                </c:pt>
                <c:pt idx="1">
                  <c:v>0.85940000000000005</c:v>
                </c:pt>
                <c:pt idx="2">
                  <c:v>0.94440000000000002</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50" Type="http://schemas.openxmlformats.org/officeDocument/2006/relationships/chart" Target="../charts/chart48.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3" Type="http://schemas.openxmlformats.org/officeDocument/2006/relationships/chart" Target="../charts/chart51.xml"/><Relationship Id="rId5" Type="http://schemas.openxmlformats.org/officeDocument/2006/relationships/chart" Target="../charts/chart3.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52" Type="http://schemas.openxmlformats.org/officeDocument/2006/relationships/chart" Target="../charts/chart50.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48" Type="http://schemas.openxmlformats.org/officeDocument/2006/relationships/chart" Target="../charts/chart46.xml"/><Relationship Id="rId8" Type="http://schemas.openxmlformats.org/officeDocument/2006/relationships/chart" Target="../charts/chart6.xml"/><Relationship Id="rId51" Type="http://schemas.openxmlformats.org/officeDocument/2006/relationships/chart" Target="../charts/chart49.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 Id="rId1" Type="http://schemas.openxmlformats.org/officeDocument/2006/relationships/image" Target="../media/image1.png"/><Relationship Id="rId6" Type="http://schemas.openxmlformats.org/officeDocument/2006/relationships/chart" Target="../charts/chart4.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49" Type="http://schemas.openxmlformats.org/officeDocument/2006/relationships/chart" Target="../charts/chart47.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7.xml"/><Relationship Id="rId3" Type="http://schemas.openxmlformats.org/officeDocument/2006/relationships/chart" Target="../charts/chart52.xml"/><Relationship Id="rId7" Type="http://schemas.openxmlformats.org/officeDocument/2006/relationships/chart" Target="../charts/chart56.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55.xml"/><Relationship Id="rId5" Type="http://schemas.openxmlformats.org/officeDocument/2006/relationships/chart" Target="../charts/chart54.xml"/><Relationship Id="rId4" Type="http://schemas.openxmlformats.org/officeDocument/2006/relationships/chart" Target="../charts/chart53.xml"/><Relationship Id="rId9"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8" Type="http://schemas.openxmlformats.org/officeDocument/2006/relationships/chart" Target="../charts/chart64.xml"/><Relationship Id="rId3" Type="http://schemas.openxmlformats.org/officeDocument/2006/relationships/chart" Target="../charts/chart59.xml"/><Relationship Id="rId7" Type="http://schemas.openxmlformats.org/officeDocument/2006/relationships/chart" Target="../charts/chart63.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2.xml"/><Relationship Id="rId11" Type="http://schemas.openxmlformats.org/officeDocument/2006/relationships/chart" Target="../charts/chart67.xml"/><Relationship Id="rId5" Type="http://schemas.openxmlformats.org/officeDocument/2006/relationships/chart" Target="../charts/chart61.xml"/><Relationship Id="rId10" Type="http://schemas.openxmlformats.org/officeDocument/2006/relationships/chart" Target="../charts/chart66.xml"/><Relationship Id="rId4" Type="http://schemas.openxmlformats.org/officeDocument/2006/relationships/chart" Target="../charts/chart60.xml"/><Relationship Id="rId9" Type="http://schemas.openxmlformats.org/officeDocument/2006/relationships/chart" Target="../charts/chart65.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56" name="Chart 55" descr="&quot;&quot;">
          <a:extLst>
            <a:ext uri="{FF2B5EF4-FFF2-40B4-BE49-F238E27FC236}">
              <a16:creationId xmlns:a16="http://schemas.microsoft.com/office/drawing/2014/main" id="{00000000-0008-0000-01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117</xdr:row>
      <xdr:rowOff>0</xdr:rowOff>
    </xdr:from>
    <xdr:to>
      <xdr:col>18</xdr:col>
      <xdr:colOff>285749</xdr:colOff>
      <xdr:row>117</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120</xdr:row>
      <xdr:rowOff>0</xdr:rowOff>
    </xdr:from>
    <xdr:to>
      <xdr:col>18</xdr:col>
      <xdr:colOff>285749</xdr:colOff>
      <xdr:row>120</xdr:row>
      <xdr:rowOff>520212</xdr:rowOff>
    </xdr:to>
    <xdr:graphicFrame macro="">
      <xdr:nvGraphicFramePr>
        <xdr:cNvPr id="58" name="Chart 57" descr="&quot;&quot;">
          <a:extLst>
            <a:ext uri="{FF2B5EF4-FFF2-40B4-BE49-F238E27FC236}">
              <a16:creationId xmlns:a16="http://schemas.microsoft.com/office/drawing/2014/main" id="{00000000-0008-0000-01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59" name="Chart 58" descr="&quot;&quot;">
          <a:extLst>
            <a:ext uri="{FF2B5EF4-FFF2-40B4-BE49-F238E27FC236}">
              <a16:creationId xmlns:a16="http://schemas.microsoft.com/office/drawing/2014/main" id="{00000000-0008-0000-0100-00003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126</xdr:row>
      <xdr:rowOff>0</xdr:rowOff>
    </xdr:from>
    <xdr:to>
      <xdr:col>18</xdr:col>
      <xdr:colOff>285749</xdr:colOff>
      <xdr:row>126</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129</xdr:row>
      <xdr:rowOff>0</xdr:rowOff>
    </xdr:from>
    <xdr:to>
      <xdr:col>18</xdr:col>
      <xdr:colOff>285749</xdr:colOff>
      <xdr:row>129</xdr:row>
      <xdr:rowOff>520212</xdr:rowOff>
    </xdr:to>
    <xdr:graphicFrame macro="">
      <xdr:nvGraphicFramePr>
        <xdr:cNvPr id="61" name="Chart 60" descr="&quot;&quot;">
          <a:extLst>
            <a:ext uri="{FF2B5EF4-FFF2-40B4-BE49-F238E27FC236}">
              <a16:creationId xmlns:a16="http://schemas.microsoft.com/office/drawing/2014/main" id="{00000000-0008-0000-0100-00003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132</xdr:row>
      <xdr:rowOff>0</xdr:rowOff>
    </xdr:from>
    <xdr:to>
      <xdr:col>18</xdr:col>
      <xdr:colOff>285749</xdr:colOff>
      <xdr:row>132</xdr:row>
      <xdr:rowOff>520212</xdr:rowOff>
    </xdr:to>
    <xdr:graphicFrame macro="">
      <xdr:nvGraphicFramePr>
        <xdr:cNvPr id="89" name="Chart 88" descr="&quot;&quot;">
          <a:extLst>
            <a:ext uri="{FF2B5EF4-FFF2-40B4-BE49-F238E27FC236}">
              <a16:creationId xmlns:a16="http://schemas.microsoft.com/office/drawing/2014/main" id="{00000000-0008-0000-0100-00005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137</xdr:row>
      <xdr:rowOff>0</xdr:rowOff>
    </xdr:from>
    <xdr:to>
      <xdr:col>18</xdr:col>
      <xdr:colOff>285749</xdr:colOff>
      <xdr:row>137</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141</xdr:row>
      <xdr:rowOff>0</xdr:rowOff>
    </xdr:from>
    <xdr:to>
      <xdr:col>18</xdr:col>
      <xdr:colOff>285749</xdr:colOff>
      <xdr:row>141</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145</xdr:row>
      <xdr:rowOff>0</xdr:rowOff>
    </xdr:from>
    <xdr:to>
      <xdr:col>18</xdr:col>
      <xdr:colOff>285749</xdr:colOff>
      <xdr:row>145</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149</xdr:row>
      <xdr:rowOff>0</xdr:rowOff>
    </xdr:from>
    <xdr:to>
      <xdr:col>18</xdr:col>
      <xdr:colOff>285749</xdr:colOff>
      <xdr:row>149</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153</xdr:row>
      <xdr:rowOff>0</xdr:rowOff>
    </xdr:from>
    <xdr:to>
      <xdr:col>18</xdr:col>
      <xdr:colOff>285749</xdr:colOff>
      <xdr:row>153</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179</xdr:row>
      <xdr:rowOff>0</xdr:rowOff>
    </xdr:from>
    <xdr:to>
      <xdr:col>18</xdr:col>
      <xdr:colOff>285749</xdr:colOff>
      <xdr:row>179</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111</xdr:row>
      <xdr:rowOff>0</xdr:rowOff>
    </xdr:from>
    <xdr:to>
      <xdr:col>19</xdr:col>
      <xdr:colOff>5096</xdr:colOff>
      <xdr:row>111</xdr:row>
      <xdr:rowOff>520212</xdr:rowOff>
    </xdr:to>
    <xdr:graphicFrame macro="">
      <xdr:nvGraphicFramePr>
        <xdr:cNvPr id="118" name="Chart 117" descr="&quot;&quot;">
          <a:extLst>
            <a:ext uri="{FF2B5EF4-FFF2-40B4-BE49-F238E27FC236}">
              <a16:creationId xmlns:a16="http://schemas.microsoft.com/office/drawing/2014/main" id="{00000000-0008-0000-0100-00007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157</xdr:row>
      <xdr:rowOff>0</xdr:rowOff>
    </xdr:from>
    <xdr:to>
      <xdr:col>18</xdr:col>
      <xdr:colOff>285749</xdr:colOff>
      <xdr:row>157</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161</xdr:row>
      <xdr:rowOff>0</xdr:rowOff>
    </xdr:from>
    <xdr:to>
      <xdr:col>18</xdr:col>
      <xdr:colOff>285749</xdr:colOff>
      <xdr:row>161</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174</xdr:row>
      <xdr:rowOff>0</xdr:rowOff>
    </xdr:from>
    <xdr:to>
      <xdr:col>18</xdr:col>
      <xdr:colOff>285749</xdr:colOff>
      <xdr:row>174</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188</xdr:row>
      <xdr:rowOff>0</xdr:rowOff>
    </xdr:from>
    <xdr:to>
      <xdr:col>18</xdr:col>
      <xdr:colOff>285749</xdr:colOff>
      <xdr:row>188</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192</xdr:row>
      <xdr:rowOff>0</xdr:rowOff>
    </xdr:from>
    <xdr:to>
      <xdr:col>18</xdr:col>
      <xdr:colOff>285749</xdr:colOff>
      <xdr:row>192</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twoCellAnchor editAs="oneCell">
    <xdr:from>
      <xdr:col>9</xdr:col>
      <xdr:colOff>0</xdr:colOff>
      <xdr:row>196</xdr:row>
      <xdr:rowOff>0</xdr:rowOff>
    </xdr:from>
    <xdr:to>
      <xdr:col>18</xdr:col>
      <xdr:colOff>285749</xdr:colOff>
      <xdr:row>196</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8"/>
        </a:graphicData>
      </a:graphic>
    </xdr:graphicFrame>
    <xdr:clientData/>
  </xdr:twoCellAnchor>
  <xdr:twoCellAnchor editAs="oneCell">
    <xdr:from>
      <xdr:col>9</xdr:col>
      <xdr:colOff>0</xdr:colOff>
      <xdr:row>183</xdr:row>
      <xdr:rowOff>0</xdr:rowOff>
    </xdr:from>
    <xdr:to>
      <xdr:col>18</xdr:col>
      <xdr:colOff>285749</xdr:colOff>
      <xdr:row>183</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9"/>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0"/>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1"/>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2"/>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46" name="Picture 1" descr="OSES Logo" title="OSES Logo">
          <a:extLst>
            <a:ext uri="{FF2B5EF4-FFF2-40B4-BE49-F238E27FC236}">
              <a16:creationId xmlns:a16="http://schemas.microsoft.com/office/drawing/2014/main" id="{00000000-0008-0000-0200-00002E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57541" y="273231"/>
          <a:ext cx="91440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14" name="Picture 13" descr="SCDE Logo" title="SCDE Logo">
          <a:extLst>
            <a:ext uri="{FF2B5EF4-FFF2-40B4-BE49-F238E27FC236}">
              <a16:creationId xmlns:a16="http://schemas.microsoft.com/office/drawing/2014/main" id="{00000000-0008-0000-0200-00000E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31745" y="267067"/>
          <a:ext cx="914973" cy="914400"/>
        </a:xfrm>
        <a:prstGeom prst="rect">
          <a:avLst/>
        </a:prstGeom>
      </xdr:spPr>
    </xdr:pic>
    <xdr:clientData/>
  </xdr:twoCellAnchor>
  <xdr:twoCellAnchor>
    <xdr:from>
      <xdr:col>3</xdr:col>
      <xdr:colOff>0</xdr:colOff>
      <xdr:row>36</xdr:row>
      <xdr:rowOff>0</xdr:rowOff>
    </xdr:from>
    <xdr:to>
      <xdr:col>9</xdr:col>
      <xdr:colOff>277468</xdr:colOff>
      <xdr:row>41</xdr:row>
      <xdr:rowOff>7327</xdr:rowOff>
    </xdr:to>
    <xdr:graphicFrame macro="">
      <xdr:nvGraphicFramePr>
        <xdr:cNvPr id="5" name="Chart 4" descr="&quot;&quot;">
          <a:extLst>
            <a:ext uri="{FF2B5EF4-FFF2-40B4-BE49-F238E27FC236}">
              <a16:creationId xmlns:a16="http://schemas.microsoft.com/office/drawing/2014/main" id="{00000000-0008-0000-0200-000005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27</xdr:row>
      <xdr:rowOff>344364</xdr:rowOff>
    </xdr:from>
    <xdr:to>
      <xdr:col>9</xdr:col>
      <xdr:colOff>277468</xdr:colOff>
      <xdr:row>32</xdr:row>
      <xdr:rowOff>146537</xdr:rowOff>
    </xdr:to>
    <xdr:graphicFrame macro="">
      <xdr:nvGraphicFramePr>
        <xdr:cNvPr id="6" name="Chart 5" descr="&quot;&quot;">
          <a:extLst>
            <a:ext uri="{FF2B5EF4-FFF2-40B4-BE49-F238E27FC236}">
              <a16:creationId xmlns:a16="http://schemas.microsoft.com/office/drawing/2014/main" id="{00000000-0008-0000-0200-000006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44</xdr:row>
      <xdr:rowOff>0</xdr:rowOff>
    </xdr:from>
    <xdr:to>
      <xdr:col>9</xdr:col>
      <xdr:colOff>277468</xdr:colOff>
      <xdr:row>49</xdr:row>
      <xdr:rowOff>7327</xdr:rowOff>
    </xdr:to>
    <xdr:graphicFrame macro="">
      <xdr:nvGraphicFramePr>
        <xdr:cNvPr id="7" name="Chart 6" descr="&quot;&quot;">
          <a:extLst>
            <a:ext uri="{FF2B5EF4-FFF2-40B4-BE49-F238E27FC236}">
              <a16:creationId xmlns:a16="http://schemas.microsoft.com/office/drawing/2014/main" id="{00000000-0008-0000-0200-000007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52</xdr:row>
      <xdr:rowOff>0</xdr:rowOff>
    </xdr:from>
    <xdr:to>
      <xdr:col>9</xdr:col>
      <xdr:colOff>277468</xdr:colOff>
      <xdr:row>57</xdr:row>
      <xdr:rowOff>7327</xdr:rowOff>
    </xdr:to>
    <xdr:graphicFrame macro="">
      <xdr:nvGraphicFramePr>
        <xdr:cNvPr id="8" name="Chart 7" descr="&quot;&quot;">
          <a:extLst>
            <a:ext uri="{FF2B5EF4-FFF2-40B4-BE49-F238E27FC236}">
              <a16:creationId xmlns:a16="http://schemas.microsoft.com/office/drawing/2014/main" id="{00000000-0008-0000-0200-000008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60</xdr:row>
      <xdr:rowOff>0</xdr:rowOff>
    </xdr:from>
    <xdr:to>
      <xdr:col>9</xdr:col>
      <xdr:colOff>277468</xdr:colOff>
      <xdr:row>65</xdr:row>
      <xdr:rowOff>7326</xdr:rowOff>
    </xdr:to>
    <xdr:graphicFrame macro="">
      <xdr:nvGraphicFramePr>
        <xdr:cNvPr id="9" name="Chart 8" descr="&quot;&quot;">
          <a:extLst>
            <a:ext uri="{FF2B5EF4-FFF2-40B4-BE49-F238E27FC236}">
              <a16:creationId xmlns:a16="http://schemas.microsoft.com/office/drawing/2014/main" id="{00000000-0008-0000-0200-000009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68</xdr:row>
      <xdr:rowOff>0</xdr:rowOff>
    </xdr:from>
    <xdr:to>
      <xdr:col>9</xdr:col>
      <xdr:colOff>277468</xdr:colOff>
      <xdr:row>73</xdr:row>
      <xdr:rowOff>7327</xdr:rowOff>
    </xdr:to>
    <xdr:graphicFrame macro="">
      <xdr:nvGraphicFramePr>
        <xdr:cNvPr id="10" name="Chart 9" descr="&quot;&quot;">
          <a:extLst>
            <a:ext uri="{FF2B5EF4-FFF2-40B4-BE49-F238E27FC236}">
              <a16:creationId xmlns:a16="http://schemas.microsoft.com/office/drawing/2014/main" id="{00000000-0008-0000-0200-00000A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76</xdr:row>
      <xdr:rowOff>0</xdr:rowOff>
    </xdr:from>
    <xdr:to>
      <xdr:col>9</xdr:col>
      <xdr:colOff>277468</xdr:colOff>
      <xdr:row>81</xdr:row>
      <xdr:rowOff>7327</xdr:rowOff>
    </xdr:to>
    <xdr:graphicFrame macro="">
      <xdr:nvGraphicFramePr>
        <xdr:cNvPr id="11" name="Chart 10" descr="&quot;&quot;">
          <a:extLst>
            <a:ext uri="{FF2B5EF4-FFF2-40B4-BE49-F238E27FC236}">
              <a16:creationId xmlns:a16="http://schemas.microsoft.com/office/drawing/2014/main" id="{00000000-0008-0000-0200-00000B00000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AE3A-BB26-4FA8-9A4A-BBC79FB13A4F}">
  <sheetPr codeName="Sheet1"/>
  <dimension ref="A1:K21"/>
  <sheetViews>
    <sheetView showGridLines="0" showRowColHeaders="0" zoomScale="145" zoomScaleNormal="145" workbookViewId="0">
      <selection activeCell="A13" sqref="A13:D13"/>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96" customHeight="1" x14ac:dyDescent="0.2">
      <c r="A6" s="130" t="s">
        <v>586</v>
      </c>
      <c r="B6" s="130"/>
      <c r="C6" s="128" t="s">
        <v>552</v>
      </c>
      <c r="D6" s="128"/>
      <c r="E6" s="110"/>
    </row>
    <row r="7" spans="1:11" s="105" customFormat="1" ht="50.85" customHeight="1" x14ac:dyDescent="0.2">
      <c r="A7" s="130" t="s">
        <v>587</v>
      </c>
      <c r="B7" s="130"/>
      <c r="C7" s="128" t="s">
        <v>553</v>
      </c>
      <c r="D7" s="128"/>
      <c r="E7" s="110"/>
    </row>
    <row r="8" spans="1:11" s="105" customFormat="1" ht="50.85" customHeight="1" x14ac:dyDescent="0.2">
      <c r="A8" s="130" t="s">
        <v>570</v>
      </c>
      <c r="B8" s="130"/>
      <c r="C8" s="128" t="s">
        <v>554</v>
      </c>
      <c r="D8" s="128"/>
      <c r="E8" s="110"/>
    </row>
    <row r="9" spans="1:11" s="105" customFormat="1" ht="62.25" customHeight="1" x14ac:dyDescent="0.2">
      <c r="A9" s="130" t="s">
        <v>571</v>
      </c>
      <c r="B9" s="130"/>
      <c r="C9" s="128" t="s">
        <v>555</v>
      </c>
      <c r="D9" s="128"/>
      <c r="E9" s="110"/>
    </row>
    <row r="10" spans="1:11" s="105" customFormat="1" ht="50.85" customHeight="1" x14ac:dyDescent="0.2">
      <c r="A10" s="130" t="s">
        <v>588</v>
      </c>
      <c r="B10" s="130"/>
      <c r="C10" s="128" t="s">
        <v>556</v>
      </c>
      <c r="D10" s="128"/>
      <c r="E10" s="110"/>
    </row>
    <row r="11" spans="1:11" s="105" customFormat="1" ht="50.85" customHeight="1" x14ac:dyDescent="0.2">
      <c r="A11" s="130" t="s">
        <v>589</v>
      </c>
      <c r="B11" s="130"/>
      <c r="C11" s="128" t="s">
        <v>557</v>
      </c>
      <c r="D11" s="128"/>
      <c r="E11" s="110"/>
    </row>
    <row r="12" spans="1:11" s="105" customFormat="1" ht="50.85" customHeight="1" x14ac:dyDescent="0.2">
      <c r="A12" s="130" t="s">
        <v>590</v>
      </c>
      <c r="B12" s="130"/>
      <c r="C12" s="128" t="s">
        <v>558</v>
      </c>
      <c r="D12" s="128"/>
      <c r="E12" s="110"/>
    </row>
    <row r="13" spans="1:11" s="105" customFormat="1" ht="18.75" x14ac:dyDescent="0.3">
      <c r="A13" s="131" t="s">
        <v>567</v>
      </c>
      <c r="B13" s="131"/>
      <c r="C13" s="131"/>
      <c r="D13" s="131"/>
      <c r="E13" s="108"/>
    </row>
    <row r="14" spans="1:11" s="105" customFormat="1" ht="11.25" x14ac:dyDescent="0.2">
      <c r="A14" s="113" t="s">
        <v>559</v>
      </c>
      <c r="B14" s="113" t="s">
        <v>538</v>
      </c>
      <c r="C14" s="113" t="s">
        <v>539</v>
      </c>
      <c r="D14" s="113" t="s">
        <v>320</v>
      </c>
      <c r="E14" s="108"/>
    </row>
    <row r="15" spans="1:11" s="105" customFormat="1" ht="33.75" customHeight="1" x14ac:dyDescent="0.2">
      <c r="A15" s="112" t="s">
        <v>577</v>
      </c>
      <c r="B15" s="111" t="s">
        <v>540</v>
      </c>
      <c r="C15" s="111" t="s">
        <v>541</v>
      </c>
      <c r="D15" s="112" t="s">
        <v>542</v>
      </c>
      <c r="E15" s="108"/>
    </row>
    <row r="16" spans="1:11" s="105" customFormat="1" ht="33.75" customHeight="1" x14ac:dyDescent="0.2">
      <c r="A16" s="112" t="s">
        <v>591</v>
      </c>
      <c r="B16" s="111" t="s">
        <v>543</v>
      </c>
      <c r="C16" s="111" t="s">
        <v>544</v>
      </c>
      <c r="D16" s="112" t="s">
        <v>542</v>
      </c>
      <c r="E16" s="108"/>
    </row>
    <row r="17" spans="1:5" s="105" customFormat="1" ht="33.75" customHeight="1" x14ac:dyDescent="0.2">
      <c r="A17" s="112" t="s">
        <v>592</v>
      </c>
      <c r="B17" s="111" t="s">
        <v>543</v>
      </c>
      <c r="C17" s="111" t="s">
        <v>544</v>
      </c>
      <c r="D17" s="112" t="s">
        <v>542</v>
      </c>
      <c r="E17" s="108"/>
    </row>
    <row r="18" spans="1:5" s="105" customFormat="1" ht="44.25" customHeight="1" x14ac:dyDescent="0.2">
      <c r="A18" s="112" t="s">
        <v>593</v>
      </c>
      <c r="B18" s="111" t="s">
        <v>561</v>
      </c>
      <c r="C18" s="111" t="s">
        <v>546</v>
      </c>
      <c r="D18" s="112" t="s">
        <v>542</v>
      </c>
      <c r="E18" s="108"/>
    </row>
    <row r="19" spans="1:5" s="105" customFormat="1" ht="33.75" customHeight="1" x14ac:dyDescent="0.2">
      <c r="A19" s="112" t="s">
        <v>594</v>
      </c>
      <c r="B19" s="111" t="s">
        <v>562</v>
      </c>
      <c r="C19" s="111" t="s">
        <v>547</v>
      </c>
      <c r="D19" s="112" t="s">
        <v>542</v>
      </c>
      <c r="E19" s="108"/>
    </row>
    <row r="20" spans="1:5" s="105" customFormat="1" ht="33.75" customHeight="1" x14ac:dyDescent="0.2">
      <c r="A20" s="112" t="s">
        <v>595</v>
      </c>
      <c r="B20" s="111" t="s">
        <v>548</v>
      </c>
      <c r="C20" s="111" t="s">
        <v>549</v>
      </c>
      <c r="D20" s="112" t="s">
        <v>545</v>
      </c>
      <c r="E20" s="108"/>
    </row>
    <row r="21" spans="1:5" s="105" customFormat="1" ht="129" customHeight="1" x14ac:dyDescent="0.2">
      <c r="A21" s="112" t="s">
        <v>596</v>
      </c>
      <c r="B21" s="111" t="s">
        <v>550</v>
      </c>
      <c r="C21" s="111" t="s">
        <v>560</v>
      </c>
      <c r="D21" s="112" t="s">
        <v>542</v>
      </c>
      <c r="E21" s="108"/>
    </row>
  </sheetData>
  <sheetProtection algorithmName="SHA-512" hashValue="fCtnJ7139pnQ9dMtTkHgDiJSu2G4GeGSIE6v3JmSBPowyAFrBwWhuyEzAR5RDzw+jUJ1Gc7Sp0A1P0sjLRWOHQ==" saltValue="M1dfCDh8ImkI7iLdxFb3Kg==" spinCount="100000" sheet="1" objects="1" scenarios="1" selectLockedCells="1" selectUnlockedCells="1"/>
  <mergeCells count="20">
    <mergeCell ref="A11:B11"/>
    <mergeCell ref="A12:B12"/>
    <mergeCell ref="C6:D6"/>
    <mergeCell ref="C7:D7"/>
    <mergeCell ref="A13:D13"/>
    <mergeCell ref="C9:D9"/>
    <mergeCell ref="C10:D10"/>
    <mergeCell ref="C11:D11"/>
    <mergeCell ref="C12:D12"/>
    <mergeCell ref="A9:B9"/>
    <mergeCell ref="A10:B10"/>
    <mergeCell ref="A1:D1"/>
    <mergeCell ref="A2:D2"/>
    <mergeCell ref="A3:D3"/>
    <mergeCell ref="A4:D4"/>
    <mergeCell ref="C8:D8"/>
    <mergeCell ref="A5:D5"/>
    <mergeCell ref="A6:B6"/>
    <mergeCell ref="A7:B7"/>
    <mergeCell ref="A8:B8"/>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T199"/>
  <sheetViews>
    <sheetView showGridLines="0" showRowColHeaders="0" zoomScale="145" zoomScaleNormal="145" workbookViewId="0">
      <pane ySplit="7" topLeftCell="A8" activePane="bottomLeft" state="frozen"/>
      <selection pane="bottomLeft"/>
    </sheetView>
  </sheetViews>
  <sheetFormatPr defaultRowHeight="15" x14ac:dyDescent="0.25"/>
  <cols>
    <col min="1" max="1" width="6.7109375" customWidth="1"/>
    <col min="2" max="2" width="3" bestFit="1" customWidth="1"/>
    <col min="3" max="3" width="7.7109375" style="39" bestFit="1" customWidth="1"/>
    <col min="4" max="4" width="5" bestFit="1" customWidth="1"/>
    <col min="5" max="5" width="7.5703125" style="39" customWidth="1"/>
    <col min="6" max="6" width="5.5703125" style="39" bestFit="1" customWidth="1"/>
    <col min="7" max="7" width="7.42578125" bestFit="1" customWidth="1"/>
    <col min="8" max="8" width="5.85546875" bestFit="1" customWidth="1"/>
    <col min="9" max="9" width="8.140625" bestFit="1" customWidth="1"/>
    <col min="10" max="20" width="4.42578125" customWidth="1"/>
  </cols>
  <sheetData>
    <row r="1" spans="1:20" s="6" customFormat="1" ht="20.100000000000001" customHeight="1" x14ac:dyDescent="0.25">
      <c r="A1" s="29" t="s">
        <v>452</v>
      </c>
      <c r="B1" s="29"/>
      <c r="C1" s="29"/>
      <c r="D1" s="29"/>
      <c r="E1" s="29"/>
      <c r="F1" s="29"/>
      <c r="G1" s="29"/>
      <c r="H1" s="29"/>
      <c r="I1" s="29"/>
      <c r="J1" s="29"/>
      <c r="K1" s="29"/>
      <c r="L1" s="29"/>
      <c r="M1" s="29"/>
      <c r="N1" s="29"/>
      <c r="O1" s="29"/>
      <c r="P1" s="29"/>
      <c r="Q1" s="29"/>
      <c r="R1" s="29"/>
      <c r="S1" s="29"/>
      <c r="T1" s="49"/>
    </row>
    <row r="2" spans="1:20" s="9" customFormat="1" ht="11.25" x14ac:dyDescent="0.2">
      <c r="A2" s="7"/>
      <c r="B2" s="7"/>
      <c r="C2" s="12"/>
      <c r="D2" s="7"/>
      <c r="E2" s="12"/>
      <c r="F2" s="12"/>
      <c r="G2" s="8"/>
      <c r="H2" s="8"/>
    </row>
    <row r="3" spans="1:20" s="11" customFormat="1" ht="27.95" customHeight="1" x14ac:dyDescent="0.25">
      <c r="A3" s="125" t="s">
        <v>85</v>
      </c>
      <c r="B3" s="36"/>
      <c r="C3" s="36"/>
      <c r="D3" s="36"/>
      <c r="E3" s="36"/>
      <c r="F3" s="36"/>
      <c r="G3" s="36"/>
      <c r="H3" s="36"/>
      <c r="I3" s="36"/>
      <c r="J3" s="36"/>
      <c r="K3" s="36"/>
      <c r="L3" s="36"/>
      <c r="M3" s="36"/>
      <c r="N3" s="36"/>
      <c r="O3" s="10"/>
    </row>
    <row r="4" spans="1:20" s="9" customFormat="1" ht="11.25" x14ac:dyDescent="0.2">
      <c r="A4" s="9" t="str">
        <f>+VLOOKUP(A3,'Old Data'!A1:CM88,2,FALSE)</f>
        <v>404 N. Wise Rd.</v>
      </c>
      <c r="C4" s="12"/>
      <c r="E4" s="12"/>
      <c r="F4" s="12"/>
    </row>
    <row r="5" spans="1:20" s="9" customFormat="1" ht="11.25" x14ac:dyDescent="0.2">
      <c r="A5" s="9" t="str">
        <f>+VLOOKUP(A3,'Old Data'!A1:CM88,3,FALSE)</f>
        <v>Saluda</v>
      </c>
      <c r="C5" s="12"/>
      <c r="E5" s="12"/>
      <c r="F5" s="12"/>
      <c r="G5" s="12" t="str">
        <f>+VLOOKUP(A3,'Old Data'!A1:CM88,4,FALSE)</f>
        <v>SC</v>
      </c>
      <c r="H5" s="12"/>
      <c r="I5" s="12">
        <f>+VLOOKUP(A3,'Old Data'!A1:CM88,5,FALSE)</f>
        <v>29138</v>
      </c>
    </row>
    <row r="6" spans="1:20" s="9" customFormat="1" ht="11.25" x14ac:dyDescent="0.2">
      <c r="A6" s="7"/>
      <c r="B6" s="7"/>
      <c r="C6" s="12"/>
      <c r="D6" s="7"/>
      <c r="E6" s="12"/>
      <c r="F6" s="12"/>
      <c r="G6" s="8"/>
      <c r="H6" s="8"/>
    </row>
    <row r="7" spans="1:20" s="13" customFormat="1" ht="20.100000000000001" customHeight="1" x14ac:dyDescent="0.25">
      <c r="A7" s="30" t="s">
        <v>332</v>
      </c>
      <c r="B7" s="30"/>
      <c r="C7" s="37"/>
      <c r="D7" s="30"/>
      <c r="E7" s="37"/>
      <c r="F7" s="37"/>
      <c r="G7" s="30"/>
      <c r="H7" s="30"/>
      <c r="I7" s="30"/>
      <c r="J7" s="30"/>
      <c r="K7" s="30"/>
      <c r="L7" s="30"/>
      <c r="M7" s="30"/>
      <c r="N7" s="30"/>
      <c r="O7" s="30"/>
      <c r="P7" s="30"/>
      <c r="Q7" s="30"/>
      <c r="R7" s="30"/>
      <c r="S7" s="30"/>
      <c r="T7" s="50"/>
    </row>
    <row r="8" spans="1:20" s="9" customFormat="1" ht="14.25" x14ac:dyDescent="0.2">
      <c r="A8" s="24" t="s">
        <v>311</v>
      </c>
      <c r="B8" s="24"/>
      <c r="C8" s="24"/>
      <c r="D8" s="24"/>
      <c r="E8" s="24"/>
      <c r="F8" s="24"/>
      <c r="G8" s="24"/>
      <c r="H8" s="24"/>
      <c r="I8" s="24"/>
      <c r="J8" s="24"/>
      <c r="K8" s="24"/>
      <c r="L8" s="24"/>
      <c r="M8" s="24"/>
      <c r="N8" s="24"/>
      <c r="O8" s="24"/>
      <c r="P8" s="24"/>
      <c r="Q8" s="24"/>
      <c r="R8" s="24"/>
      <c r="S8" s="24"/>
      <c r="T8" s="52"/>
    </row>
    <row r="9" spans="1:20" s="9" customFormat="1" ht="11.25" x14ac:dyDescent="0.2">
      <c r="A9" s="76" t="s">
        <v>339</v>
      </c>
      <c r="B9" s="74"/>
      <c r="C9" s="74"/>
      <c r="D9" s="74"/>
      <c r="E9" s="74"/>
      <c r="F9" s="74"/>
      <c r="G9" s="74"/>
      <c r="H9" s="74"/>
      <c r="I9" s="74"/>
      <c r="J9" s="74"/>
      <c r="K9" s="74"/>
      <c r="L9" s="74"/>
      <c r="M9" s="74"/>
      <c r="N9" s="74"/>
      <c r="O9" s="74"/>
      <c r="P9" s="74"/>
      <c r="Q9" s="74"/>
      <c r="R9" s="74"/>
      <c r="S9" s="74"/>
      <c r="T9" s="51"/>
    </row>
    <row r="10" spans="1:20" s="9" customFormat="1" ht="11.25" x14ac:dyDescent="0.2">
      <c r="A10" s="75" t="s">
        <v>340</v>
      </c>
      <c r="B10" s="74"/>
      <c r="C10" s="74"/>
      <c r="D10" s="74"/>
      <c r="E10" s="74"/>
      <c r="F10" s="74"/>
      <c r="G10" s="74"/>
      <c r="H10" s="74"/>
      <c r="I10" s="74"/>
      <c r="J10" s="74"/>
      <c r="K10" s="74"/>
      <c r="L10" s="74"/>
      <c r="M10" s="74"/>
      <c r="N10" s="74"/>
      <c r="O10" s="74"/>
      <c r="P10" s="74"/>
      <c r="Q10" s="74"/>
      <c r="R10" s="74"/>
      <c r="S10" s="74"/>
      <c r="T10" s="51"/>
    </row>
    <row r="11" spans="1:20" s="9" customFormat="1" ht="44.25" customHeight="1" x14ac:dyDescent="0.2">
      <c r="A11" s="67" t="s">
        <v>320</v>
      </c>
      <c r="B11" s="64" t="s">
        <v>294</v>
      </c>
      <c r="C11" s="65">
        <v>0.60389999999999999</v>
      </c>
      <c r="D11" s="66" t="s">
        <v>298</v>
      </c>
      <c r="E11" s="65">
        <v>0.51619999999999999</v>
      </c>
      <c r="F11" s="66" t="s">
        <v>0</v>
      </c>
      <c r="G11" s="87">
        <f>VLOOKUP(A3,'Old Data'!A1:CM88,35,FALSE)</f>
        <v>0.46429999999999999</v>
      </c>
      <c r="H11" s="66" t="s">
        <v>1</v>
      </c>
      <c r="I11" s="11" t="str">
        <f t="shared" ref="I11" si="0">IF(OR(G11="NA",G11="**"),"NA",IF(G11&lt;C11,"Not Met","Met"))</f>
        <v>Not Met</v>
      </c>
      <c r="J11" s="25"/>
      <c r="L11" s="25"/>
      <c r="M11" s="25"/>
      <c r="N11" s="25"/>
    </row>
    <row r="12" spans="1:20" s="9" customFormat="1" ht="14.25" x14ac:dyDescent="0.2">
      <c r="A12" s="24" t="s">
        <v>312</v>
      </c>
      <c r="B12" s="24"/>
      <c r="C12" s="24"/>
      <c r="D12" s="24"/>
      <c r="E12" s="24"/>
      <c r="F12" s="24"/>
      <c r="G12" s="24"/>
      <c r="H12" s="24"/>
      <c r="I12" s="24"/>
      <c r="J12" s="24"/>
      <c r="K12" s="24"/>
      <c r="L12" s="24"/>
      <c r="M12" s="24"/>
      <c r="N12" s="24"/>
      <c r="O12" s="24"/>
      <c r="P12" s="24"/>
      <c r="Q12" s="24"/>
      <c r="R12" s="24"/>
      <c r="S12" s="24"/>
      <c r="T12" s="52"/>
    </row>
    <row r="13" spans="1:20" s="9" customFormat="1" ht="11.25" x14ac:dyDescent="0.2">
      <c r="A13" s="76" t="s">
        <v>341</v>
      </c>
      <c r="B13" s="75"/>
      <c r="C13" s="75"/>
      <c r="D13" s="75"/>
      <c r="E13" s="75"/>
      <c r="F13" s="75"/>
      <c r="G13" s="75"/>
      <c r="H13" s="75"/>
      <c r="I13" s="75"/>
      <c r="J13" s="75"/>
      <c r="K13" s="75"/>
      <c r="L13" s="75"/>
      <c r="M13" s="75"/>
      <c r="N13" s="75"/>
      <c r="O13" s="75"/>
      <c r="P13" s="75"/>
      <c r="Q13" s="75"/>
      <c r="R13" s="75"/>
      <c r="S13" s="75"/>
      <c r="T13" s="51"/>
    </row>
    <row r="14" spans="1:20" s="9" customFormat="1" ht="11.25" x14ac:dyDescent="0.2">
      <c r="A14" s="38" t="s">
        <v>342</v>
      </c>
      <c r="B14" s="38"/>
      <c r="C14" s="38"/>
      <c r="D14" s="38"/>
      <c r="E14" s="38"/>
      <c r="F14" s="38"/>
      <c r="G14" s="38"/>
      <c r="H14" s="38"/>
      <c r="I14" s="38"/>
      <c r="J14" s="38"/>
      <c r="K14" s="38"/>
      <c r="L14" s="38"/>
      <c r="M14" s="38"/>
      <c r="N14" s="38"/>
      <c r="O14" s="38"/>
      <c r="P14" s="38"/>
      <c r="Q14" s="38"/>
      <c r="R14" s="38"/>
      <c r="S14" s="38"/>
      <c r="T14" s="51"/>
    </row>
    <row r="15" spans="1:20" s="9" customFormat="1" ht="44.25" customHeight="1" x14ac:dyDescent="0.2">
      <c r="A15" s="67" t="s">
        <v>320</v>
      </c>
      <c r="B15" s="64" t="s">
        <v>295</v>
      </c>
      <c r="C15" s="65">
        <v>0.23730000000000001</v>
      </c>
      <c r="D15" s="66" t="s">
        <v>298</v>
      </c>
      <c r="E15" s="65">
        <v>0.31619999999999998</v>
      </c>
      <c r="F15" s="66" t="s">
        <v>0</v>
      </c>
      <c r="G15" s="87">
        <f>VLOOKUP(A3,'Old Data'!A1:CM88,36,FALSE)</f>
        <v>0.39290000000000003</v>
      </c>
      <c r="H15" s="66" t="s">
        <v>1</v>
      </c>
      <c r="I15" s="11" t="str">
        <f>IF(OR(G15="NA",G15="**"),"NA",IF(G15&gt;C15,"Not Met","Met"))</f>
        <v>Not Met</v>
      </c>
      <c r="J15" s="25"/>
      <c r="L15" s="25"/>
      <c r="M15" s="25"/>
      <c r="N15" s="25"/>
    </row>
    <row r="16" spans="1:20" s="9" customFormat="1" ht="14.25" x14ac:dyDescent="0.2">
      <c r="A16" s="24" t="s">
        <v>333</v>
      </c>
      <c r="B16" s="24"/>
      <c r="C16" s="24"/>
      <c r="D16" s="24"/>
      <c r="E16" s="24"/>
      <c r="F16" s="24"/>
      <c r="G16" s="24"/>
      <c r="H16" s="24"/>
      <c r="I16" s="24"/>
      <c r="J16" s="24"/>
      <c r="K16" s="24"/>
      <c r="L16" s="24"/>
      <c r="M16" s="24"/>
      <c r="N16" s="24"/>
      <c r="O16" s="24"/>
      <c r="P16" s="24"/>
      <c r="Q16" s="24"/>
      <c r="R16" s="24"/>
      <c r="S16" s="24"/>
      <c r="T16" s="52"/>
    </row>
    <row r="17" spans="1:20" s="9" customFormat="1" ht="11.25" x14ac:dyDescent="0.2">
      <c r="A17" s="76" t="s">
        <v>343</v>
      </c>
      <c r="B17" s="75"/>
      <c r="C17" s="75"/>
      <c r="D17" s="75"/>
      <c r="E17" s="75"/>
      <c r="F17" s="75"/>
      <c r="G17" s="75"/>
      <c r="H17" s="75"/>
      <c r="I17" s="75"/>
      <c r="J17" s="75"/>
      <c r="K17" s="75"/>
      <c r="L17" s="75"/>
      <c r="M17" s="75"/>
      <c r="N17" s="75"/>
      <c r="O17" s="75"/>
      <c r="P17" s="75"/>
      <c r="Q17" s="75"/>
      <c r="R17" s="75"/>
      <c r="S17" s="75"/>
      <c r="T17" s="51"/>
    </row>
    <row r="18" spans="1:20" s="9" customFormat="1" ht="11.25" x14ac:dyDescent="0.2">
      <c r="A18" s="75" t="s">
        <v>344</v>
      </c>
      <c r="B18" s="75"/>
      <c r="C18" s="75"/>
      <c r="D18" s="75"/>
      <c r="E18" s="75"/>
      <c r="F18" s="75"/>
      <c r="G18" s="75"/>
      <c r="H18" s="75"/>
      <c r="I18" s="75"/>
      <c r="J18" s="75"/>
      <c r="K18" s="75"/>
      <c r="L18" s="75"/>
      <c r="M18" s="75"/>
      <c r="N18" s="75"/>
      <c r="O18" s="75"/>
      <c r="P18" s="75"/>
      <c r="Q18" s="75"/>
      <c r="R18" s="75"/>
      <c r="S18" s="75"/>
      <c r="T18" s="51"/>
    </row>
    <row r="19" spans="1:20" s="9" customFormat="1" ht="44.25" customHeight="1" x14ac:dyDescent="0.2">
      <c r="A19" s="67" t="s">
        <v>320</v>
      </c>
      <c r="B19" s="64" t="s">
        <v>294</v>
      </c>
      <c r="C19" s="65">
        <v>0.95</v>
      </c>
      <c r="D19" s="66" t="s">
        <v>298</v>
      </c>
      <c r="E19" s="65">
        <v>0.98632154882154899</v>
      </c>
      <c r="F19" s="66" t="s">
        <v>0</v>
      </c>
      <c r="G19" s="87">
        <f>VLOOKUP(A3,'Old Data'!A1:CM88,37,FALSE)</f>
        <v>0.97435897435897401</v>
      </c>
      <c r="H19" s="66" t="s">
        <v>1</v>
      </c>
      <c r="I19" s="11" t="str">
        <f>IF(OR(G19="NA",G19="**"),"NA",IF(G19&lt;C19,"Not Met","Met"))</f>
        <v>Met</v>
      </c>
      <c r="J19" s="25"/>
      <c r="L19" s="25"/>
      <c r="M19" s="25"/>
      <c r="N19" s="25"/>
    </row>
    <row r="20" spans="1:20" s="9" customFormat="1" ht="11.25" x14ac:dyDescent="0.2">
      <c r="A20" s="76" t="s">
        <v>345</v>
      </c>
      <c r="B20" s="75"/>
      <c r="C20" s="75"/>
      <c r="D20" s="75"/>
      <c r="E20" s="75"/>
      <c r="F20" s="75"/>
      <c r="G20" s="75"/>
      <c r="H20" s="75"/>
      <c r="I20" s="75"/>
      <c r="J20" s="75"/>
      <c r="K20" s="75"/>
      <c r="L20" s="75"/>
      <c r="M20" s="75"/>
      <c r="N20" s="75"/>
      <c r="O20" s="75"/>
      <c r="P20" s="75"/>
      <c r="Q20" s="75"/>
      <c r="R20" s="75"/>
      <c r="S20" s="75"/>
      <c r="T20" s="51"/>
    </row>
    <row r="21" spans="1:20" s="9" customFormat="1" ht="11.25" x14ac:dyDescent="0.2">
      <c r="A21" s="75" t="s">
        <v>346</v>
      </c>
      <c r="B21" s="75"/>
      <c r="C21" s="75"/>
      <c r="D21" s="75"/>
      <c r="E21" s="75"/>
      <c r="F21" s="75"/>
      <c r="G21" s="75"/>
      <c r="H21" s="75"/>
      <c r="I21" s="75"/>
      <c r="J21" s="75"/>
      <c r="K21" s="75"/>
      <c r="L21" s="75"/>
      <c r="M21" s="75"/>
      <c r="N21" s="75"/>
      <c r="O21" s="75"/>
      <c r="P21" s="75"/>
      <c r="Q21" s="75"/>
      <c r="R21" s="75"/>
      <c r="S21" s="75"/>
      <c r="T21" s="51"/>
    </row>
    <row r="22" spans="1:20" s="9" customFormat="1" ht="44.25" customHeight="1" x14ac:dyDescent="0.2">
      <c r="A22" s="67" t="s">
        <v>320</v>
      </c>
      <c r="B22" s="64" t="s">
        <v>294</v>
      </c>
      <c r="C22" s="65">
        <v>0.95</v>
      </c>
      <c r="D22" s="66" t="s">
        <v>298</v>
      </c>
      <c r="E22" s="65">
        <v>0.96262103129925702</v>
      </c>
      <c r="F22" s="66" t="s">
        <v>0</v>
      </c>
      <c r="G22" s="87">
        <f>VLOOKUP(A3,'Old Data'!A1:CM88,38,FALSE)</f>
        <v>1</v>
      </c>
      <c r="H22" s="66" t="s">
        <v>1</v>
      </c>
      <c r="I22" s="11" t="str">
        <f>IF(OR(G22="NA",G22="**"),"NA",IF(G22&lt;C22,"Not Met","Met"))</f>
        <v>Met</v>
      </c>
      <c r="J22" s="25"/>
      <c r="L22" s="25"/>
      <c r="M22" s="25"/>
      <c r="N22" s="25"/>
    </row>
    <row r="23" spans="1:20" s="9" customFormat="1" ht="11.25" x14ac:dyDescent="0.2">
      <c r="A23" s="76" t="s">
        <v>347</v>
      </c>
      <c r="B23" s="75"/>
      <c r="C23" s="75"/>
      <c r="D23" s="75"/>
      <c r="E23" s="75"/>
      <c r="F23" s="75"/>
      <c r="G23" s="75"/>
      <c r="H23" s="75"/>
      <c r="I23" s="75"/>
      <c r="J23" s="75"/>
      <c r="K23" s="75"/>
      <c r="L23" s="75"/>
      <c r="M23" s="75"/>
      <c r="N23" s="75"/>
      <c r="O23" s="75"/>
      <c r="P23" s="75"/>
      <c r="Q23" s="75"/>
      <c r="R23" s="75"/>
      <c r="S23" s="75"/>
      <c r="T23" s="51"/>
    </row>
    <row r="24" spans="1:20" s="9" customFormat="1" ht="11.25" x14ac:dyDescent="0.2">
      <c r="A24" s="75" t="s">
        <v>348</v>
      </c>
      <c r="B24" s="75"/>
      <c r="C24" s="75"/>
      <c r="D24" s="75"/>
      <c r="E24" s="75"/>
      <c r="F24" s="75"/>
      <c r="G24" s="75"/>
      <c r="H24" s="75"/>
      <c r="I24" s="75"/>
      <c r="J24" s="75"/>
      <c r="K24" s="75"/>
      <c r="L24" s="75"/>
      <c r="M24" s="75"/>
      <c r="N24" s="75"/>
      <c r="O24" s="75"/>
      <c r="P24" s="75"/>
      <c r="Q24" s="75"/>
      <c r="R24" s="75"/>
      <c r="S24" s="75"/>
      <c r="T24" s="51"/>
    </row>
    <row r="25" spans="1:20" s="9" customFormat="1" ht="44.25" customHeight="1" x14ac:dyDescent="0.2">
      <c r="A25" s="67" t="s">
        <v>320</v>
      </c>
      <c r="B25" s="64" t="s">
        <v>294</v>
      </c>
      <c r="C25" s="65">
        <v>0.95</v>
      </c>
      <c r="D25" s="66" t="s">
        <v>298</v>
      </c>
      <c r="E25" s="65">
        <v>0.94532604347246296</v>
      </c>
      <c r="F25" s="66" t="s">
        <v>0</v>
      </c>
      <c r="G25" s="87">
        <f>VLOOKUP(A3,'Old Data'!A1:CM88,39,FALSE)</f>
        <v>1</v>
      </c>
      <c r="H25" s="66" t="s">
        <v>1</v>
      </c>
      <c r="I25" s="11" t="str">
        <f>IF(OR(G25="NA",G25="**"),"NA",IF(G25&lt;C25,"Not Met","Met"))</f>
        <v>Met</v>
      </c>
      <c r="J25" s="25"/>
      <c r="L25" s="25"/>
      <c r="M25" s="25"/>
      <c r="N25" s="25"/>
    </row>
    <row r="26" spans="1:20" s="9" customFormat="1" ht="11.25" x14ac:dyDescent="0.2">
      <c r="A26" s="76" t="s">
        <v>349</v>
      </c>
      <c r="B26" s="75"/>
      <c r="C26" s="75"/>
      <c r="D26" s="75"/>
      <c r="E26" s="75"/>
      <c r="F26" s="75"/>
      <c r="G26" s="75"/>
      <c r="H26" s="75"/>
      <c r="I26" s="75"/>
      <c r="J26" s="75"/>
      <c r="K26" s="75"/>
      <c r="L26" s="75"/>
      <c r="M26" s="75"/>
      <c r="N26" s="75"/>
      <c r="O26" s="75"/>
      <c r="P26" s="75"/>
      <c r="Q26" s="75"/>
      <c r="R26" s="75"/>
      <c r="S26" s="75"/>
      <c r="T26" s="51"/>
    </row>
    <row r="27" spans="1:20" s="9" customFormat="1" ht="11.25" x14ac:dyDescent="0.2">
      <c r="A27" s="75" t="s">
        <v>350</v>
      </c>
      <c r="B27" s="75"/>
      <c r="C27" s="75"/>
      <c r="D27" s="75"/>
      <c r="E27" s="75"/>
      <c r="F27" s="75"/>
      <c r="G27" s="75"/>
      <c r="H27" s="75"/>
      <c r="I27" s="75"/>
      <c r="J27" s="75"/>
      <c r="K27" s="75"/>
      <c r="L27" s="75"/>
      <c r="M27" s="75"/>
      <c r="N27" s="75"/>
      <c r="O27" s="75"/>
      <c r="P27" s="75"/>
      <c r="Q27" s="75"/>
      <c r="R27" s="75"/>
      <c r="S27" s="75"/>
      <c r="T27" s="51"/>
    </row>
    <row r="28" spans="1:20" s="9" customFormat="1" ht="44.25" customHeight="1" x14ac:dyDescent="0.2">
      <c r="A28" s="67" t="s">
        <v>320</v>
      </c>
      <c r="B28" s="64" t="s">
        <v>294</v>
      </c>
      <c r="C28" s="65">
        <v>0.95</v>
      </c>
      <c r="D28" s="66" t="s">
        <v>298</v>
      </c>
      <c r="E28" s="65">
        <v>0.98726717878564696</v>
      </c>
      <c r="F28" s="66" t="s">
        <v>0</v>
      </c>
      <c r="G28" s="87">
        <f>VLOOKUP(A3,'Old Data'!A1:CM88,40,FALSE)</f>
        <v>0.97435897435897401</v>
      </c>
      <c r="H28" s="66" t="s">
        <v>1</v>
      </c>
      <c r="I28" s="11" t="str">
        <f>IF(OR(G28="NA",G28="**"),"NA",IF(G28&lt;C28,"Not Met","Met"))</f>
        <v>Met</v>
      </c>
      <c r="J28" s="25"/>
      <c r="L28" s="25"/>
      <c r="M28" s="25"/>
      <c r="N28" s="25"/>
    </row>
    <row r="29" spans="1:20" s="9" customFormat="1" ht="11.25" x14ac:dyDescent="0.2">
      <c r="A29" s="76" t="s">
        <v>351</v>
      </c>
      <c r="B29" s="75"/>
      <c r="C29" s="75"/>
      <c r="D29" s="75"/>
      <c r="E29" s="75"/>
      <c r="F29" s="75"/>
      <c r="G29" s="75"/>
      <c r="H29" s="75"/>
      <c r="I29" s="75"/>
      <c r="J29" s="75"/>
      <c r="K29" s="75"/>
      <c r="L29" s="75"/>
      <c r="M29" s="75"/>
      <c r="N29" s="75"/>
      <c r="O29" s="75"/>
      <c r="P29" s="75"/>
      <c r="Q29" s="75"/>
      <c r="R29" s="75"/>
      <c r="S29" s="75"/>
      <c r="T29" s="51"/>
    </row>
    <row r="30" spans="1:20" s="9" customFormat="1" ht="11.25" x14ac:dyDescent="0.2">
      <c r="A30" s="75" t="s">
        <v>352</v>
      </c>
      <c r="B30" s="75"/>
      <c r="C30" s="75"/>
      <c r="D30" s="75"/>
      <c r="E30" s="75"/>
      <c r="F30" s="75"/>
      <c r="G30" s="75"/>
      <c r="H30" s="75"/>
      <c r="I30" s="75"/>
      <c r="J30" s="75"/>
      <c r="K30" s="75"/>
      <c r="L30" s="75"/>
      <c r="M30" s="75"/>
      <c r="N30" s="75"/>
      <c r="O30" s="75"/>
      <c r="P30" s="75"/>
      <c r="Q30" s="75"/>
      <c r="R30" s="75"/>
      <c r="S30" s="75"/>
      <c r="T30" s="51"/>
    </row>
    <row r="31" spans="1:20" s="9" customFormat="1" ht="44.25" customHeight="1" x14ac:dyDescent="0.2">
      <c r="A31" s="67" t="s">
        <v>320</v>
      </c>
      <c r="B31" s="64" t="s">
        <v>294</v>
      </c>
      <c r="C31" s="65">
        <v>0.95</v>
      </c>
      <c r="D31" s="66" t="s">
        <v>298</v>
      </c>
      <c r="E31" s="65">
        <v>0.96395584591124095</v>
      </c>
      <c r="F31" s="66" t="s">
        <v>0</v>
      </c>
      <c r="G31" s="87">
        <f>VLOOKUP(A3,'Old Data'!A1:CM88,41,FALSE)</f>
        <v>1</v>
      </c>
      <c r="H31" s="66" t="s">
        <v>1</v>
      </c>
      <c r="I31" s="11" t="str">
        <f>IF(OR(G31="NA",G31="**"),"NA",IF(G31&lt;C31,"Not Met","Met"))</f>
        <v>Met</v>
      </c>
      <c r="J31" s="25"/>
      <c r="L31" s="25"/>
      <c r="M31" s="25"/>
      <c r="N31" s="25"/>
    </row>
    <row r="32" spans="1:20" s="9" customFormat="1" ht="11.25" x14ac:dyDescent="0.2">
      <c r="A32" s="76" t="s">
        <v>353</v>
      </c>
      <c r="B32" s="75"/>
      <c r="C32" s="75"/>
      <c r="D32" s="75"/>
      <c r="E32" s="75"/>
      <c r="F32" s="75"/>
      <c r="G32" s="75"/>
      <c r="H32" s="75"/>
      <c r="I32" s="75"/>
      <c r="J32" s="75"/>
      <c r="K32" s="75"/>
      <c r="L32" s="75"/>
      <c r="M32" s="75"/>
      <c r="N32" s="75"/>
      <c r="O32" s="75"/>
      <c r="P32" s="75"/>
      <c r="Q32" s="75"/>
      <c r="R32" s="75"/>
      <c r="S32" s="75"/>
      <c r="T32" s="51"/>
    </row>
    <row r="33" spans="1:20" s="9" customFormat="1" ht="11.25" x14ac:dyDescent="0.2">
      <c r="A33" s="75" t="s">
        <v>354</v>
      </c>
      <c r="B33" s="75"/>
      <c r="C33" s="75"/>
      <c r="D33" s="75"/>
      <c r="E33" s="75"/>
      <c r="F33" s="75"/>
      <c r="G33" s="75"/>
      <c r="H33" s="75"/>
      <c r="I33" s="75"/>
      <c r="J33" s="75"/>
      <c r="K33" s="75"/>
      <c r="L33" s="75"/>
      <c r="M33" s="75"/>
      <c r="N33" s="75"/>
      <c r="O33" s="75"/>
      <c r="P33" s="75"/>
      <c r="Q33" s="75"/>
      <c r="R33" s="75"/>
      <c r="S33" s="75"/>
      <c r="T33" s="51"/>
    </row>
    <row r="34" spans="1:20" s="9" customFormat="1" ht="44.25" customHeight="1" x14ac:dyDescent="0.2">
      <c r="A34" s="67" t="s">
        <v>320</v>
      </c>
      <c r="B34" s="64" t="s">
        <v>294</v>
      </c>
      <c r="C34" s="65">
        <v>0.95</v>
      </c>
      <c r="D34" s="66" t="s">
        <v>298</v>
      </c>
      <c r="E34" s="65">
        <v>0.93026793026792998</v>
      </c>
      <c r="F34" s="66" t="s">
        <v>0</v>
      </c>
      <c r="G34" s="87">
        <f>VLOOKUP(A3,'Old Data'!A1:CM88,42,FALSE)</f>
        <v>1</v>
      </c>
      <c r="H34" s="66" t="s">
        <v>1</v>
      </c>
      <c r="I34" s="11" t="str">
        <f>IF(OR(G34="NA",G34="**"),"NA",IF(G34&lt;C34,"Not Met","Met"))</f>
        <v>Met</v>
      </c>
      <c r="J34" s="25"/>
      <c r="L34" s="25"/>
      <c r="M34" s="25"/>
      <c r="N34" s="25"/>
    </row>
    <row r="35" spans="1:20" s="9" customFormat="1" ht="11.25" x14ac:dyDescent="0.2">
      <c r="A35" s="76" t="s">
        <v>355</v>
      </c>
      <c r="B35" s="75"/>
      <c r="C35" s="75"/>
      <c r="D35" s="75"/>
      <c r="E35" s="75"/>
      <c r="F35" s="75"/>
      <c r="G35" s="75"/>
      <c r="H35" s="75"/>
      <c r="I35" s="75"/>
      <c r="J35" s="75"/>
      <c r="K35" s="75"/>
      <c r="L35" s="75"/>
      <c r="M35" s="75"/>
      <c r="N35" s="75"/>
      <c r="O35" s="75"/>
      <c r="P35" s="75"/>
      <c r="Q35" s="75"/>
      <c r="R35" s="75"/>
      <c r="S35" s="75"/>
      <c r="T35" s="51"/>
    </row>
    <row r="36" spans="1:20" s="9" customFormat="1" ht="11.25" x14ac:dyDescent="0.2">
      <c r="A36" s="75" t="s">
        <v>356</v>
      </c>
      <c r="B36" s="75"/>
      <c r="C36" s="75"/>
      <c r="D36" s="75"/>
      <c r="E36" s="75"/>
      <c r="F36" s="75"/>
      <c r="G36" s="75"/>
      <c r="H36" s="75"/>
      <c r="I36" s="75"/>
      <c r="J36" s="75"/>
      <c r="K36" s="75"/>
      <c r="L36" s="75"/>
      <c r="M36" s="75"/>
      <c r="N36" s="75"/>
      <c r="O36" s="75"/>
      <c r="P36" s="75"/>
      <c r="Q36" s="75"/>
      <c r="R36" s="75"/>
      <c r="S36" s="75"/>
      <c r="T36" s="51"/>
    </row>
    <row r="37" spans="1:20" s="9" customFormat="1" ht="44.25" customHeight="1" x14ac:dyDescent="0.2">
      <c r="A37" s="67" t="s">
        <v>320</v>
      </c>
      <c r="B37" s="64" t="s">
        <v>294</v>
      </c>
      <c r="C37" s="65">
        <v>0.18709999999999999</v>
      </c>
      <c r="D37" s="66" t="s">
        <v>298</v>
      </c>
      <c r="E37" s="65">
        <v>0.181623208037025</v>
      </c>
      <c r="F37" s="66" t="s">
        <v>0</v>
      </c>
      <c r="G37" s="87">
        <f>VLOOKUP(A3,'Old Data'!A1:CM88,43,FALSE)</f>
        <v>0.14285714285714299</v>
      </c>
      <c r="H37" s="66" t="s">
        <v>1</v>
      </c>
      <c r="I37" s="11" t="str">
        <f>IF(OR(G37="NA",G37="**"),"NA",IF(G37&lt;C37,"Not Met","Met"))</f>
        <v>Not Met</v>
      </c>
      <c r="J37" s="25"/>
      <c r="L37" s="25"/>
      <c r="M37" s="25"/>
      <c r="N37" s="25"/>
    </row>
    <row r="38" spans="1:20" s="9" customFormat="1" ht="11.25" x14ac:dyDescent="0.2">
      <c r="A38" s="76" t="s">
        <v>357</v>
      </c>
      <c r="B38" s="75"/>
      <c r="C38" s="75"/>
      <c r="D38" s="75"/>
      <c r="E38" s="75"/>
      <c r="F38" s="75"/>
      <c r="G38" s="75"/>
      <c r="H38" s="75"/>
      <c r="I38" s="75"/>
      <c r="J38" s="75"/>
      <c r="K38" s="75"/>
      <c r="L38" s="75"/>
      <c r="M38" s="75"/>
      <c r="N38" s="75"/>
      <c r="O38" s="75"/>
      <c r="P38" s="75"/>
      <c r="Q38" s="75"/>
      <c r="R38" s="75"/>
      <c r="S38" s="75"/>
      <c r="T38" s="51"/>
    </row>
    <row r="39" spans="1:20" s="9" customFormat="1" ht="11.25" x14ac:dyDescent="0.2">
      <c r="A39" s="75" t="s">
        <v>358</v>
      </c>
      <c r="B39" s="75"/>
      <c r="C39" s="75"/>
      <c r="D39" s="75"/>
      <c r="E39" s="75"/>
      <c r="F39" s="75"/>
      <c r="G39" s="75"/>
      <c r="H39" s="75"/>
      <c r="I39" s="75"/>
      <c r="J39" s="75"/>
      <c r="K39" s="75"/>
      <c r="L39" s="75"/>
      <c r="M39" s="75"/>
      <c r="N39" s="75"/>
      <c r="O39" s="75"/>
      <c r="P39" s="75"/>
      <c r="Q39" s="75"/>
      <c r="R39" s="75"/>
      <c r="S39" s="75"/>
      <c r="T39" s="51"/>
    </row>
    <row r="40" spans="1:20" s="9" customFormat="1" ht="44.25" customHeight="1" x14ac:dyDescent="0.2">
      <c r="A40" s="67" t="s">
        <v>320</v>
      </c>
      <c r="B40" s="64" t="s">
        <v>294</v>
      </c>
      <c r="C40" s="65">
        <v>9.3399999999999997E-2</v>
      </c>
      <c r="D40" s="66" t="s">
        <v>298</v>
      </c>
      <c r="E40" s="65">
        <v>7.9030028898102803E-2</v>
      </c>
      <c r="F40" s="66" t="s">
        <v>0</v>
      </c>
      <c r="G40" s="87">
        <f>VLOOKUP(A3,'Old Data'!A1:CM88,44,FALSE)</f>
        <v>6.6666666666666693E-2</v>
      </c>
      <c r="H40" s="66" t="s">
        <v>1</v>
      </c>
      <c r="I40" s="11" t="str">
        <f>IF(OR(G40="NA",G40="**"),"NA",IF(G40&lt;C40,"Not Met","Met"))</f>
        <v>Not Met</v>
      </c>
      <c r="J40" s="25"/>
      <c r="L40" s="25"/>
      <c r="M40" s="25"/>
      <c r="N40" s="25"/>
    </row>
    <row r="41" spans="1:20" s="9" customFormat="1" ht="11.25" x14ac:dyDescent="0.2">
      <c r="A41" s="76" t="s">
        <v>359</v>
      </c>
      <c r="B41" s="75"/>
      <c r="C41" s="75"/>
      <c r="D41" s="75"/>
      <c r="E41" s="75"/>
      <c r="F41" s="75"/>
      <c r="G41" s="75"/>
      <c r="H41" s="75"/>
      <c r="I41" s="75"/>
      <c r="J41" s="75"/>
      <c r="K41" s="75"/>
      <c r="L41" s="75"/>
      <c r="M41" s="75"/>
      <c r="N41" s="75"/>
      <c r="O41" s="75"/>
      <c r="P41" s="75"/>
      <c r="Q41" s="75"/>
      <c r="R41" s="75"/>
      <c r="S41" s="75"/>
      <c r="T41" s="51"/>
    </row>
    <row r="42" spans="1:20" s="9" customFormat="1" ht="11.25" x14ac:dyDescent="0.2">
      <c r="A42" s="75" t="s">
        <v>360</v>
      </c>
      <c r="B42" s="75"/>
      <c r="C42" s="75"/>
      <c r="D42" s="75"/>
      <c r="E42" s="75"/>
      <c r="F42" s="75"/>
      <c r="G42" s="75"/>
      <c r="H42" s="75"/>
      <c r="I42" s="75"/>
      <c r="J42" s="75"/>
      <c r="K42" s="75"/>
      <c r="L42" s="75"/>
      <c r="M42" s="75"/>
      <c r="N42" s="75"/>
      <c r="O42" s="75"/>
      <c r="P42" s="75"/>
      <c r="Q42" s="75"/>
      <c r="R42" s="75"/>
      <c r="S42" s="75"/>
      <c r="T42" s="51"/>
    </row>
    <row r="43" spans="1:20" s="9" customFormat="1" ht="44.25" customHeight="1" x14ac:dyDescent="0.2">
      <c r="A43" s="67" t="s">
        <v>320</v>
      </c>
      <c r="B43" s="64" t="s">
        <v>294</v>
      </c>
      <c r="C43" s="65">
        <v>0.4481</v>
      </c>
      <c r="D43" s="66" t="s">
        <v>298</v>
      </c>
      <c r="E43" s="65">
        <v>0.471812794408145</v>
      </c>
      <c r="F43" s="66" t="s">
        <v>0</v>
      </c>
      <c r="G43" s="87">
        <f>VLOOKUP(A3,'Old Data'!A1:CM88,45,FALSE)</f>
        <v>0.31034482758620702</v>
      </c>
      <c r="H43" s="66" t="s">
        <v>1</v>
      </c>
      <c r="I43" s="11" t="str">
        <f>IF(OR(G43="NA",G43="**"),"NA",IF(G43&lt;C43,"Not Met","Met"))</f>
        <v>Not Met</v>
      </c>
      <c r="J43" s="25"/>
      <c r="L43" s="25"/>
      <c r="M43" s="25"/>
      <c r="N43" s="25"/>
    </row>
    <row r="44" spans="1:20" s="9" customFormat="1" ht="11.25" x14ac:dyDescent="0.2">
      <c r="A44" s="76" t="s">
        <v>361</v>
      </c>
      <c r="B44" s="75"/>
      <c r="C44" s="75"/>
      <c r="D44" s="75"/>
      <c r="E44" s="75"/>
      <c r="F44" s="75"/>
      <c r="G44" s="75"/>
      <c r="H44" s="75"/>
      <c r="I44" s="75"/>
      <c r="J44" s="75"/>
      <c r="K44" s="75"/>
      <c r="L44" s="75"/>
      <c r="M44" s="75"/>
      <c r="N44" s="75"/>
      <c r="O44" s="75"/>
      <c r="P44" s="75"/>
      <c r="Q44" s="75"/>
      <c r="R44" s="75"/>
      <c r="S44" s="75"/>
      <c r="T44" s="51"/>
    </row>
    <row r="45" spans="1:20" s="9" customFormat="1" ht="11.25" x14ac:dyDescent="0.2">
      <c r="A45" s="75" t="s">
        <v>362</v>
      </c>
      <c r="B45" s="75"/>
      <c r="C45" s="75"/>
      <c r="D45" s="75"/>
      <c r="E45" s="75"/>
      <c r="F45" s="75"/>
      <c r="G45" s="75"/>
      <c r="H45" s="75"/>
      <c r="I45" s="75"/>
      <c r="J45" s="75"/>
      <c r="K45" s="75"/>
      <c r="L45" s="75"/>
      <c r="M45" s="75"/>
      <c r="N45" s="75"/>
      <c r="O45" s="75"/>
      <c r="P45" s="75"/>
      <c r="Q45" s="75"/>
      <c r="R45" s="75"/>
      <c r="S45" s="75"/>
      <c r="T45" s="51"/>
    </row>
    <row r="46" spans="1:20" s="9" customFormat="1" ht="44.25" customHeight="1" x14ac:dyDescent="0.2">
      <c r="A46" s="67" t="s">
        <v>320</v>
      </c>
      <c r="B46" s="64" t="s">
        <v>294</v>
      </c>
      <c r="C46" s="65">
        <v>0.18390000000000001</v>
      </c>
      <c r="D46" s="66" t="s">
        <v>298</v>
      </c>
      <c r="E46" s="65">
        <v>0.17309427153811499</v>
      </c>
      <c r="F46" s="66" t="s">
        <v>0</v>
      </c>
      <c r="G46" s="87">
        <f>VLOOKUP(A3,'Old Data'!A1:CM88,46,FALSE)</f>
        <v>8.5714285714285701E-2</v>
      </c>
      <c r="H46" s="66" t="s">
        <v>1</v>
      </c>
      <c r="I46" s="11" t="str">
        <f>IF(OR(G46="NA",G46="**"),"NA",IF(G46&lt;C46,"Not Met","Met"))</f>
        <v>Not Met</v>
      </c>
      <c r="J46" s="25"/>
      <c r="L46" s="25"/>
      <c r="M46" s="25"/>
      <c r="N46" s="25"/>
    </row>
    <row r="47" spans="1:20" s="9" customFormat="1" ht="11.25" x14ac:dyDescent="0.2">
      <c r="A47" s="76" t="s">
        <v>363</v>
      </c>
      <c r="B47" s="75"/>
      <c r="C47" s="75"/>
      <c r="D47" s="75"/>
      <c r="E47" s="75"/>
      <c r="F47" s="75"/>
      <c r="G47" s="75"/>
      <c r="H47" s="75"/>
      <c r="I47" s="75"/>
      <c r="J47" s="75"/>
      <c r="K47" s="75"/>
      <c r="L47" s="75"/>
      <c r="M47" s="75"/>
      <c r="N47" s="75"/>
      <c r="O47" s="75"/>
      <c r="P47" s="75"/>
      <c r="Q47" s="75"/>
      <c r="R47" s="75"/>
      <c r="S47" s="75"/>
      <c r="T47" s="51"/>
    </row>
    <row r="48" spans="1:20" s="9" customFormat="1" ht="11.25" x14ac:dyDescent="0.2">
      <c r="A48" s="75" t="s">
        <v>364</v>
      </c>
      <c r="B48" s="75"/>
      <c r="C48" s="75"/>
      <c r="D48" s="75"/>
      <c r="E48" s="75"/>
      <c r="F48" s="75"/>
      <c r="G48" s="75"/>
      <c r="H48" s="75"/>
      <c r="I48" s="75"/>
      <c r="J48" s="75"/>
      <c r="K48" s="75"/>
      <c r="L48" s="75"/>
      <c r="M48" s="75"/>
      <c r="N48" s="75"/>
      <c r="O48" s="75"/>
      <c r="P48" s="75"/>
      <c r="Q48" s="75"/>
      <c r="R48" s="75"/>
      <c r="S48" s="75"/>
      <c r="T48" s="51"/>
    </row>
    <row r="49" spans="1:20" s="9" customFormat="1" ht="44.25" customHeight="1" x14ac:dyDescent="0.2">
      <c r="A49" s="67" t="s">
        <v>320</v>
      </c>
      <c r="B49" s="64" t="s">
        <v>294</v>
      </c>
      <c r="C49" s="65">
        <v>6.3799999999999996E-2</v>
      </c>
      <c r="D49" s="66" t="s">
        <v>298</v>
      </c>
      <c r="E49" s="65">
        <v>4.4263322884012503E-2</v>
      </c>
      <c r="F49" s="66" t="s">
        <v>0</v>
      </c>
      <c r="G49" s="87">
        <f>VLOOKUP(A3,'Old Data'!A1:CM88,47,FALSE)</f>
        <v>6.6666666666666693E-2</v>
      </c>
      <c r="H49" s="66" t="s">
        <v>1</v>
      </c>
      <c r="I49" s="11" t="str">
        <f>IF(OR(G49="NA",G49="**"),"NA",IF(G49&lt;C49,"Not Met","Met"))</f>
        <v>Met</v>
      </c>
      <c r="J49" s="25"/>
      <c r="L49" s="25"/>
      <c r="M49" s="25"/>
      <c r="N49" s="25"/>
    </row>
    <row r="50" spans="1:20" s="9" customFormat="1" ht="11.25" x14ac:dyDescent="0.2">
      <c r="A50" s="76" t="s">
        <v>365</v>
      </c>
      <c r="B50" s="75"/>
      <c r="C50" s="75"/>
      <c r="D50" s="75"/>
      <c r="E50" s="75"/>
      <c r="F50" s="75"/>
      <c r="G50" s="75"/>
      <c r="H50" s="75"/>
      <c r="I50" s="75"/>
      <c r="J50" s="75"/>
      <c r="K50" s="75"/>
      <c r="L50" s="75"/>
      <c r="M50" s="75"/>
      <c r="N50" s="75"/>
      <c r="O50" s="75"/>
      <c r="P50" s="75"/>
      <c r="Q50" s="75"/>
      <c r="R50" s="75"/>
      <c r="S50" s="75"/>
      <c r="T50" s="51"/>
    </row>
    <row r="51" spans="1:20" s="9" customFormat="1" ht="11.25" x14ac:dyDescent="0.2">
      <c r="A51" s="75" t="s">
        <v>366</v>
      </c>
      <c r="B51" s="75"/>
      <c r="C51" s="75"/>
      <c r="D51" s="75"/>
      <c r="E51" s="75"/>
      <c r="F51" s="75"/>
      <c r="G51" s="75"/>
      <c r="H51" s="75"/>
      <c r="I51" s="75"/>
      <c r="J51" s="75"/>
      <c r="K51" s="75"/>
      <c r="L51" s="75"/>
      <c r="M51" s="75"/>
      <c r="N51" s="75"/>
      <c r="O51" s="75"/>
      <c r="P51" s="75"/>
      <c r="Q51" s="75"/>
      <c r="R51" s="75"/>
      <c r="S51" s="75"/>
      <c r="T51" s="51"/>
    </row>
    <row r="52" spans="1:20" s="9" customFormat="1" ht="44.25" customHeight="1" x14ac:dyDescent="0.2">
      <c r="A52" s="67" t="s">
        <v>320</v>
      </c>
      <c r="B52" s="64" t="s">
        <v>294</v>
      </c>
      <c r="C52" s="65">
        <v>0.2457</v>
      </c>
      <c r="D52" s="66" t="s">
        <v>298</v>
      </c>
      <c r="E52" s="65">
        <v>0.29508862129617103</v>
      </c>
      <c r="F52" s="66" t="s">
        <v>0</v>
      </c>
      <c r="G52" s="87">
        <f>VLOOKUP(A3,'Old Data'!A1:CM88,48,FALSE)</f>
        <v>2.7777777777777801E-2</v>
      </c>
      <c r="H52" s="66" t="s">
        <v>1</v>
      </c>
      <c r="I52" s="11" t="str">
        <f>IF(OR(G52="NA",G52="**"),"NA",IF(G52&lt;C52,"Not Met","Met"))</f>
        <v>Not Met</v>
      </c>
      <c r="J52" s="25"/>
      <c r="L52" s="25"/>
      <c r="M52" s="25"/>
      <c r="N52" s="25"/>
    </row>
    <row r="53" spans="1:20" s="9" customFormat="1" ht="11.25" x14ac:dyDescent="0.2">
      <c r="A53" s="76" t="s">
        <v>367</v>
      </c>
      <c r="B53" s="75"/>
      <c r="C53" s="75"/>
      <c r="D53" s="75"/>
      <c r="E53" s="75"/>
      <c r="F53" s="75"/>
      <c r="G53" s="75"/>
      <c r="H53" s="75"/>
      <c r="I53" s="75"/>
      <c r="J53" s="75"/>
      <c r="K53" s="75"/>
      <c r="L53" s="75"/>
      <c r="M53" s="75"/>
      <c r="N53" s="75"/>
      <c r="O53" s="75"/>
      <c r="P53" s="75"/>
      <c r="Q53" s="75"/>
      <c r="R53" s="75"/>
      <c r="S53" s="75"/>
      <c r="T53" s="51"/>
    </row>
    <row r="54" spans="1:20" s="9" customFormat="1" ht="11.25" x14ac:dyDescent="0.2">
      <c r="A54" s="75" t="s">
        <v>368</v>
      </c>
      <c r="B54" s="75"/>
      <c r="C54" s="75"/>
      <c r="D54" s="75"/>
      <c r="E54" s="75"/>
      <c r="F54" s="75"/>
      <c r="G54" s="75"/>
      <c r="H54" s="75"/>
      <c r="I54" s="75"/>
      <c r="J54" s="75"/>
      <c r="K54" s="75"/>
      <c r="L54" s="75"/>
      <c r="M54" s="75"/>
      <c r="N54" s="75"/>
      <c r="O54" s="75"/>
      <c r="P54" s="75"/>
      <c r="Q54" s="75"/>
      <c r="R54" s="75"/>
      <c r="S54" s="75"/>
      <c r="T54" s="51"/>
    </row>
    <row r="55" spans="1:20" s="9" customFormat="1" ht="44.25" customHeight="1" x14ac:dyDescent="0.2">
      <c r="A55" s="67" t="s">
        <v>320</v>
      </c>
      <c r="B55" s="64" t="s">
        <v>294</v>
      </c>
      <c r="C55" s="65">
        <v>0.54459999999999997</v>
      </c>
      <c r="D55" s="66" t="s">
        <v>298</v>
      </c>
      <c r="E55" s="65">
        <v>0.39029126213592202</v>
      </c>
      <c r="F55" s="66" t="s">
        <v>0</v>
      </c>
      <c r="G55" s="87">
        <f>VLOOKUP(A3,'Old Data'!A1:CM88,49,FALSE)</f>
        <v>0.33333333333333298</v>
      </c>
      <c r="H55" s="66" t="s">
        <v>1</v>
      </c>
      <c r="I55" s="11" t="str">
        <f>IF(OR(G55="NA",G55="**"),"NA",IF(G55&lt;C55,"Not Met","Met"))</f>
        <v>Not Met</v>
      </c>
      <c r="J55" s="25"/>
      <c r="L55" s="25"/>
      <c r="M55" s="25"/>
      <c r="N55" s="25"/>
    </row>
    <row r="56" spans="1:20" s="9" customFormat="1" ht="11.25" x14ac:dyDescent="0.2">
      <c r="A56" s="76" t="s">
        <v>369</v>
      </c>
      <c r="B56" s="75"/>
      <c r="C56" s="75"/>
      <c r="D56" s="75"/>
      <c r="E56" s="75"/>
      <c r="F56" s="75"/>
      <c r="G56" s="75"/>
      <c r="H56" s="75"/>
      <c r="I56" s="75"/>
      <c r="J56" s="75"/>
      <c r="K56" s="75"/>
      <c r="L56" s="75"/>
      <c r="M56" s="75"/>
      <c r="N56" s="75"/>
      <c r="O56" s="75"/>
      <c r="P56" s="75"/>
      <c r="Q56" s="75"/>
      <c r="R56" s="75"/>
      <c r="S56" s="75"/>
      <c r="T56" s="51"/>
    </row>
    <row r="57" spans="1:20" s="9" customFormat="1" ht="11.25" x14ac:dyDescent="0.2">
      <c r="A57" s="75" t="s">
        <v>370</v>
      </c>
      <c r="B57" s="75"/>
      <c r="C57" s="75"/>
      <c r="D57" s="75"/>
      <c r="E57" s="75"/>
      <c r="F57" s="75"/>
      <c r="G57" s="75"/>
      <c r="H57" s="75"/>
      <c r="I57" s="75"/>
      <c r="J57" s="75"/>
      <c r="K57" s="75"/>
      <c r="L57" s="75"/>
      <c r="M57" s="75"/>
      <c r="N57" s="75"/>
      <c r="O57" s="75"/>
      <c r="P57" s="75"/>
      <c r="Q57" s="75"/>
      <c r="R57" s="75"/>
      <c r="S57" s="75"/>
      <c r="T57" s="51"/>
    </row>
    <row r="58" spans="1:20" s="9" customFormat="1" ht="44.25" customHeight="1" x14ac:dyDescent="0.2">
      <c r="A58" s="67" t="s">
        <v>320</v>
      </c>
      <c r="B58" s="64" t="s">
        <v>294</v>
      </c>
      <c r="C58" s="65">
        <v>0.37259999999999999</v>
      </c>
      <c r="D58" s="66" t="s">
        <v>298</v>
      </c>
      <c r="E58" s="65">
        <v>0.32656514382402702</v>
      </c>
      <c r="F58" s="66" t="s">
        <v>0</v>
      </c>
      <c r="G58" s="87" t="str">
        <f>VLOOKUP(A3,'Old Data'!A1:CM88,50,FALSE)</f>
        <v>NA</v>
      </c>
      <c r="H58" s="66" t="s">
        <v>1</v>
      </c>
      <c r="I58" s="11" t="str">
        <f>IF(OR(G58="NA",G58="**"),"NA",IF(G58&lt;C58,"Not Met","Met"))</f>
        <v>NA</v>
      </c>
      <c r="J58" s="25"/>
      <c r="L58" s="25"/>
      <c r="M58" s="25"/>
      <c r="N58" s="25"/>
    </row>
    <row r="59" spans="1:20" s="9" customFormat="1" ht="11.25" x14ac:dyDescent="0.2">
      <c r="A59" s="76" t="s">
        <v>371</v>
      </c>
      <c r="B59" s="75"/>
      <c r="C59" s="75"/>
      <c r="D59" s="75"/>
      <c r="E59" s="75"/>
      <c r="F59" s="75"/>
      <c r="G59" s="75"/>
      <c r="H59" s="75"/>
      <c r="I59" s="75"/>
      <c r="J59" s="75"/>
      <c r="K59" s="75"/>
      <c r="L59" s="75"/>
      <c r="M59" s="75"/>
      <c r="N59" s="75"/>
      <c r="O59" s="75"/>
      <c r="P59" s="75"/>
      <c r="Q59" s="75"/>
      <c r="R59" s="75"/>
      <c r="S59" s="75"/>
      <c r="T59" s="51"/>
    </row>
    <row r="60" spans="1:20" s="9" customFormat="1" ht="11.25" x14ac:dyDescent="0.2">
      <c r="A60" s="38" t="s">
        <v>372</v>
      </c>
      <c r="B60" s="38"/>
      <c r="C60" s="38"/>
      <c r="D60" s="38"/>
      <c r="E60" s="38"/>
      <c r="F60" s="38"/>
      <c r="G60" s="38"/>
      <c r="H60" s="38"/>
      <c r="I60" s="38"/>
      <c r="J60" s="38"/>
      <c r="K60" s="38"/>
      <c r="L60" s="38"/>
      <c r="M60" s="38"/>
      <c r="N60" s="38"/>
      <c r="O60" s="38"/>
      <c r="P60" s="38"/>
      <c r="Q60" s="38"/>
      <c r="R60" s="38"/>
      <c r="S60" s="38"/>
      <c r="T60" s="51"/>
    </row>
    <row r="61" spans="1:20" s="9" customFormat="1" ht="44.25" customHeight="1" x14ac:dyDescent="0.2">
      <c r="A61" s="67" t="s">
        <v>320</v>
      </c>
      <c r="B61" s="64" t="s">
        <v>294</v>
      </c>
      <c r="C61" s="65">
        <v>0.37980000000000003</v>
      </c>
      <c r="D61" s="66" t="s">
        <v>298</v>
      </c>
      <c r="E61" s="65">
        <v>0.34645669291338599</v>
      </c>
      <c r="F61" s="66" t="s">
        <v>0</v>
      </c>
      <c r="G61" s="87" t="str">
        <f>VLOOKUP(A3,'Old Data'!A1:CM88,51,FALSE)</f>
        <v>NA</v>
      </c>
      <c r="H61" s="66" t="s">
        <v>1</v>
      </c>
      <c r="I61" s="11" t="str">
        <f>IF(OR(G61="NA",G61="**"),"NA",IF(G61&lt;C61,"Not Met","Met"))</f>
        <v>NA</v>
      </c>
      <c r="J61" s="25"/>
      <c r="L61" s="25"/>
      <c r="M61" s="25"/>
      <c r="N61" s="25"/>
    </row>
    <row r="62" spans="1:20" s="9" customFormat="1" ht="11.25" x14ac:dyDescent="0.2">
      <c r="A62" s="76" t="s">
        <v>373</v>
      </c>
      <c r="B62" s="75"/>
      <c r="C62" s="75"/>
      <c r="D62" s="75"/>
      <c r="E62" s="75"/>
      <c r="F62" s="75"/>
      <c r="G62" s="75"/>
      <c r="H62" s="75"/>
      <c r="I62" s="75"/>
      <c r="J62" s="75"/>
      <c r="K62" s="75"/>
      <c r="L62" s="75"/>
      <c r="M62" s="75"/>
      <c r="N62" s="75"/>
      <c r="O62" s="75"/>
      <c r="P62" s="75"/>
      <c r="Q62" s="75"/>
      <c r="R62" s="75"/>
      <c r="S62" s="75"/>
      <c r="T62" s="51"/>
    </row>
    <row r="63" spans="1:20" s="9" customFormat="1" ht="11.25" x14ac:dyDescent="0.2">
      <c r="A63" s="75" t="s">
        <v>374</v>
      </c>
      <c r="B63" s="75"/>
      <c r="C63" s="75"/>
      <c r="D63" s="75"/>
      <c r="E63" s="75"/>
      <c r="F63" s="75"/>
      <c r="G63" s="75"/>
      <c r="H63" s="75"/>
      <c r="I63" s="75"/>
      <c r="J63" s="75"/>
      <c r="K63" s="75"/>
      <c r="L63" s="75"/>
      <c r="M63" s="75"/>
      <c r="N63" s="75"/>
      <c r="O63" s="75"/>
      <c r="P63" s="75"/>
      <c r="Q63" s="75"/>
      <c r="R63" s="75"/>
      <c r="S63" s="75"/>
      <c r="T63" s="51"/>
    </row>
    <row r="64" spans="1:20" s="9" customFormat="1" ht="44.25" customHeight="1" x14ac:dyDescent="0.2">
      <c r="A64" s="67" t="s">
        <v>320</v>
      </c>
      <c r="B64" s="64" t="s">
        <v>294</v>
      </c>
      <c r="C64" s="65">
        <v>0.42699999999999999</v>
      </c>
      <c r="D64" s="66" t="s">
        <v>298</v>
      </c>
      <c r="E64" s="65">
        <v>0.36575875486381298</v>
      </c>
      <c r="F64" s="66" t="s">
        <v>0</v>
      </c>
      <c r="G64" s="87">
        <f>VLOOKUP(A3,'Old Data'!A1:CM88,52,FALSE)</f>
        <v>0.66666666666666696</v>
      </c>
      <c r="H64" s="66" t="s">
        <v>1</v>
      </c>
      <c r="I64" s="11" t="str">
        <f>IF(OR(G64="NA",G64="**"),"NA",IF(G64&lt;C64,"Not Met","Met"))</f>
        <v>Met</v>
      </c>
      <c r="J64" s="25"/>
      <c r="L64" s="25"/>
      <c r="M64" s="25"/>
      <c r="N64" s="25"/>
    </row>
    <row r="65" spans="1:20" s="9" customFormat="1" ht="11.25" x14ac:dyDescent="0.2">
      <c r="A65" s="76" t="s">
        <v>375</v>
      </c>
      <c r="B65" s="75"/>
      <c r="C65" s="75"/>
      <c r="D65" s="75"/>
      <c r="E65" s="75"/>
      <c r="F65" s="75"/>
      <c r="G65" s="75"/>
      <c r="H65" s="75"/>
      <c r="I65" s="75"/>
      <c r="J65" s="75"/>
      <c r="K65" s="75"/>
      <c r="L65" s="75"/>
      <c r="M65" s="75"/>
      <c r="N65" s="75"/>
      <c r="O65" s="75"/>
      <c r="P65" s="75"/>
      <c r="Q65" s="75"/>
      <c r="R65" s="75"/>
      <c r="S65" s="75"/>
      <c r="T65" s="51"/>
    </row>
    <row r="66" spans="1:20" s="9" customFormat="1" ht="11.25" x14ac:dyDescent="0.2">
      <c r="A66" s="75" t="s">
        <v>376</v>
      </c>
      <c r="B66" s="75"/>
      <c r="C66" s="75"/>
      <c r="D66" s="75"/>
      <c r="E66" s="75"/>
      <c r="F66" s="75"/>
      <c r="G66" s="75"/>
      <c r="H66" s="75"/>
      <c r="I66" s="75"/>
      <c r="J66" s="75"/>
      <c r="K66" s="75"/>
      <c r="L66" s="75"/>
      <c r="M66" s="75"/>
      <c r="N66" s="75"/>
      <c r="O66" s="75"/>
      <c r="P66" s="75"/>
      <c r="Q66" s="75"/>
      <c r="R66" s="75"/>
      <c r="S66" s="75"/>
      <c r="T66" s="51"/>
    </row>
    <row r="67" spans="1:20" s="9" customFormat="1" ht="44.25" customHeight="1" x14ac:dyDescent="0.2">
      <c r="A67" s="67" t="s">
        <v>320</v>
      </c>
      <c r="B67" s="64" t="s">
        <v>294</v>
      </c>
      <c r="C67" s="65">
        <v>0.37980000000000003</v>
      </c>
      <c r="D67" s="66" t="s">
        <v>298</v>
      </c>
      <c r="E67" s="65">
        <v>0.35677530017152698</v>
      </c>
      <c r="F67" s="66" t="s">
        <v>0</v>
      </c>
      <c r="G67" s="87" t="str">
        <f>VLOOKUP(A3,'Old Data'!A1:CM88,53,FALSE)</f>
        <v>NA</v>
      </c>
      <c r="H67" s="66" t="s">
        <v>1</v>
      </c>
      <c r="I67" s="11" t="str">
        <f>IF(OR(G67="NA",G67="**"),"NA",IF(G67&lt;C67,"Not Met","Met"))</f>
        <v>NA</v>
      </c>
      <c r="J67" s="25"/>
      <c r="L67" s="25"/>
      <c r="M67" s="25"/>
      <c r="N67" s="25"/>
    </row>
    <row r="68" spans="1:20" s="9" customFormat="1" ht="11.25" x14ac:dyDescent="0.2">
      <c r="A68" s="76" t="s">
        <v>377</v>
      </c>
      <c r="B68" s="75"/>
      <c r="C68" s="75"/>
      <c r="D68" s="75"/>
      <c r="E68" s="75"/>
      <c r="F68" s="75"/>
      <c r="G68" s="75"/>
      <c r="H68" s="75"/>
      <c r="I68" s="75"/>
      <c r="J68" s="75"/>
      <c r="K68" s="75"/>
      <c r="L68" s="75"/>
      <c r="M68" s="75"/>
      <c r="N68" s="75"/>
      <c r="O68" s="75"/>
      <c r="P68" s="75"/>
      <c r="Q68" s="75"/>
      <c r="R68" s="75"/>
      <c r="S68" s="75"/>
      <c r="T68" s="51"/>
    </row>
    <row r="69" spans="1:20" s="9" customFormat="1" ht="11.25" x14ac:dyDescent="0.2">
      <c r="A69" s="75" t="s">
        <v>378</v>
      </c>
      <c r="B69" s="75"/>
      <c r="C69" s="75"/>
      <c r="D69" s="75"/>
      <c r="E69" s="75"/>
      <c r="F69" s="75"/>
      <c r="G69" s="75"/>
      <c r="H69" s="75"/>
      <c r="I69" s="75"/>
      <c r="J69" s="75"/>
      <c r="K69" s="75"/>
      <c r="L69" s="75"/>
      <c r="M69" s="75"/>
      <c r="N69" s="75"/>
      <c r="O69" s="75"/>
      <c r="P69" s="75"/>
      <c r="Q69" s="75"/>
      <c r="R69" s="75"/>
      <c r="S69" s="75"/>
      <c r="T69" s="51"/>
    </row>
    <row r="70" spans="1:20" s="9" customFormat="1" ht="44.25" customHeight="1" x14ac:dyDescent="0.2">
      <c r="A70" s="67" t="s">
        <v>320</v>
      </c>
      <c r="B70" s="64" t="s">
        <v>294</v>
      </c>
      <c r="C70" s="65">
        <v>0.3916</v>
      </c>
      <c r="D70" s="66" t="s">
        <v>298</v>
      </c>
      <c r="E70" s="65">
        <v>0.35178571428571398</v>
      </c>
      <c r="F70" s="66" t="s">
        <v>0</v>
      </c>
      <c r="G70" s="87" t="str">
        <f>VLOOKUP(A3,'Old Data'!A1:CM88,54,FALSE)</f>
        <v>NA</v>
      </c>
      <c r="H70" s="66" t="s">
        <v>1</v>
      </c>
      <c r="I70" s="11" t="str">
        <f>IF(OR(G70="NA",G70="**"),"NA",IF(G70&lt;C70,"Not Met","Met"))</f>
        <v>NA</v>
      </c>
      <c r="J70" s="25"/>
      <c r="L70" s="25"/>
      <c r="M70" s="25"/>
      <c r="N70" s="25"/>
    </row>
    <row r="71" spans="1:20" s="9" customFormat="1" ht="11.25" x14ac:dyDescent="0.2">
      <c r="A71" s="76" t="s">
        <v>379</v>
      </c>
      <c r="B71" s="75"/>
      <c r="C71" s="75"/>
      <c r="D71" s="75"/>
      <c r="E71" s="75"/>
      <c r="F71" s="75"/>
      <c r="G71" s="75"/>
      <c r="H71" s="75"/>
      <c r="I71" s="75"/>
      <c r="J71" s="75"/>
      <c r="K71" s="75"/>
      <c r="L71" s="75"/>
      <c r="M71" s="75"/>
      <c r="N71" s="75"/>
      <c r="O71" s="75"/>
      <c r="P71" s="75"/>
      <c r="Q71" s="75"/>
      <c r="R71" s="75"/>
      <c r="S71" s="75"/>
      <c r="T71" s="51"/>
    </row>
    <row r="72" spans="1:20" s="9" customFormat="1" ht="11.25" x14ac:dyDescent="0.2">
      <c r="A72" s="75" t="s">
        <v>475</v>
      </c>
      <c r="B72" s="75"/>
      <c r="C72" s="75"/>
      <c r="D72" s="75"/>
      <c r="E72" s="75"/>
      <c r="F72" s="75"/>
      <c r="G72" s="75"/>
      <c r="H72" s="75"/>
      <c r="I72" s="75"/>
      <c r="J72" s="75"/>
      <c r="K72" s="75"/>
      <c r="L72" s="75"/>
      <c r="M72" s="75"/>
      <c r="N72" s="75"/>
      <c r="O72" s="75"/>
      <c r="P72" s="75"/>
      <c r="Q72" s="75"/>
      <c r="R72" s="75"/>
      <c r="S72" s="75"/>
      <c r="T72" s="51"/>
    </row>
    <row r="73" spans="1:20" s="9" customFormat="1" ht="44.25" customHeight="1" x14ac:dyDescent="0.2">
      <c r="A73" s="67" t="s">
        <v>320</v>
      </c>
      <c r="B73" s="64" t="s">
        <v>295</v>
      </c>
      <c r="C73" s="65">
        <v>0.2853</v>
      </c>
      <c r="D73" s="66" t="s">
        <v>298</v>
      </c>
      <c r="E73" s="65">
        <v>0.32219873042178498</v>
      </c>
      <c r="F73" s="66" t="s">
        <v>0</v>
      </c>
      <c r="G73" s="87">
        <f>VLOOKUP(A3,'Old Data'!A1:CM88,55,FALSE)</f>
        <v>0.27649769585253497</v>
      </c>
      <c r="H73" s="66" t="s">
        <v>1</v>
      </c>
      <c r="I73" s="11" t="str">
        <f>IF(OR(G73="NA",G73="**"),"NA",IF(G73&gt;C73,"Not Met","Met"))</f>
        <v>Met</v>
      </c>
      <c r="J73" s="25"/>
      <c r="L73" s="25"/>
      <c r="M73" s="25"/>
      <c r="N73" s="25"/>
    </row>
    <row r="74" spans="1:20" s="9" customFormat="1" ht="11.25" x14ac:dyDescent="0.2">
      <c r="A74" s="76" t="s">
        <v>380</v>
      </c>
      <c r="B74" s="75"/>
      <c r="C74" s="75"/>
      <c r="D74" s="75"/>
      <c r="E74" s="75"/>
      <c r="F74" s="75"/>
      <c r="G74" s="75"/>
      <c r="H74" s="75"/>
      <c r="I74" s="75"/>
      <c r="J74" s="75"/>
      <c r="K74" s="75"/>
      <c r="L74" s="75"/>
      <c r="M74" s="75"/>
      <c r="N74" s="75"/>
      <c r="O74" s="75"/>
      <c r="P74" s="75"/>
      <c r="Q74" s="75"/>
      <c r="R74" s="75"/>
      <c r="S74" s="75"/>
      <c r="T74" s="51"/>
    </row>
    <row r="75" spans="1:20" s="9" customFormat="1" ht="11.25" x14ac:dyDescent="0.2">
      <c r="A75" s="75" t="s">
        <v>476</v>
      </c>
      <c r="B75" s="75"/>
      <c r="C75" s="75"/>
      <c r="D75" s="75"/>
      <c r="E75" s="75"/>
      <c r="F75" s="75"/>
      <c r="G75" s="75"/>
      <c r="H75" s="75"/>
      <c r="I75" s="75"/>
      <c r="J75" s="75"/>
      <c r="K75" s="75"/>
      <c r="L75" s="75"/>
      <c r="M75" s="75"/>
      <c r="N75" s="75"/>
      <c r="O75" s="75"/>
      <c r="P75" s="75"/>
      <c r="Q75" s="75"/>
      <c r="R75" s="75"/>
      <c r="S75" s="75"/>
      <c r="T75" s="51"/>
    </row>
    <row r="76" spans="1:20" s="9" customFormat="1" ht="44.25" customHeight="1" x14ac:dyDescent="0.2">
      <c r="A76" s="67" t="s">
        <v>320</v>
      </c>
      <c r="B76" s="64" t="s">
        <v>295</v>
      </c>
      <c r="C76" s="65">
        <v>0.33810000000000001</v>
      </c>
      <c r="D76" s="66" t="s">
        <v>298</v>
      </c>
      <c r="E76" s="65">
        <v>0.38013086536012902</v>
      </c>
      <c r="F76" s="66" t="s">
        <v>0</v>
      </c>
      <c r="G76" s="87">
        <f>VLOOKUP(A3,'Old Data'!A1:CM88,56,FALSE)</f>
        <v>0.27728237791932098</v>
      </c>
      <c r="H76" s="66" t="s">
        <v>1</v>
      </c>
      <c r="I76" s="11" t="str">
        <f>IF(OR(G76="NA",G76="**"),"NA",IF(G76&gt;C76,"Not Met","Met"))</f>
        <v>Met</v>
      </c>
      <c r="J76" s="25"/>
      <c r="L76" s="25"/>
      <c r="M76" s="25"/>
      <c r="N76" s="25"/>
    </row>
    <row r="77" spans="1:20" s="9" customFormat="1" ht="11.25" x14ac:dyDescent="0.2">
      <c r="A77" s="76" t="s">
        <v>381</v>
      </c>
      <c r="B77" s="75"/>
      <c r="C77" s="75"/>
      <c r="D77" s="75"/>
      <c r="E77" s="75"/>
      <c r="F77" s="75"/>
      <c r="G77" s="75"/>
      <c r="H77" s="75"/>
      <c r="I77" s="75"/>
      <c r="J77" s="75"/>
      <c r="K77" s="75"/>
      <c r="L77" s="75"/>
      <c r="M77" s="75"/>
      <c r="N77" s="75"/>
      <c r="O77" s="75"/>
      <c r="P77" s="75"/>
      <c r="Q77" s="75"/>
      <c r="R77" s="75"/>
      <c r="S77" s="75"/>
      <c r="T77" s="51"/>
    </row>
    <row r="78" spans="1:20" s="9" customFormat="1" ht="11.25" x14ac:dyDescent="0.2">
      <c r="A78" s="75" t="s">
        <v>477</v>
      </c>
      <c r="B78" s="75"/>
      <c r="C78" s="75"/>
      <c r="D78" s="75"/>
      <c r="E78" s="75"/>
      <c r="F78" s="75"/>
      <c r="G78" s="75"/>
      <c r="H78" s="75"/>
      <c r="I78" s="75"/>
      <c r="J78" s="75"/>
      <c r="K78" s="75"/>
      <c r="L78" s="75"/>
      <c r="M78" s="75"/>
      <c r="N78" s="75"/>
      <c r="O78" s="75"/>
      <c r="P78" s="75"/>
      <c r="Q78" s="75"/>
      <c r="R78" s="75"/>
      <c r="S78" s="75"/>
      <c r="T78" s="51"/>
    </row>
    <row r="79" spans="1:20" s="9" customFormat="1" ht="44.25" customHeight="1" x14ac:dyDescent="0.2">
      <c r="A79" s="67" t="s">
        <v>320</v>
      </c>
      <c r="B79" s="64" t="s">
        <v>295</v>
      </c>
      <c r="C79" s="65">
        <v>0.37680000000000002</v>
      </c>
      <c r="D79" s="66" t="s">
        <v>298</v>
      </c>
      <c r="E79" s="65">
        <v>0.375883003512825</v>
      </c>
      <c r="F79" s="66" t="s">
        <v>0</v>
      </c>
      <c r="G79" s="87">
        <f>VLOOKUP(A3,'Old Data'!A1:CM88,57,FALSE)</f>
        <v>0.333826951554897</v>
      </c>
      <c r="H79" s="66" t="s">
        <v>1</v>
      </c>
      <c r="I79" s="11" t="str">
        <f>IF(OR(G79="NA",G79="**"),"NA",IF(G79&gt;C79,"Not Met","Met"))</f>
        <v>Met</v>
      </c>
      <c r="J79" s="25"/>
      <c r="L79" s="25"/>
      <c r="M79" s="25"/>
      <c r="N79" s="25"/>
    </row>
    <row r="80" spans="1:20" s="9" customFormat="1" ht="11.25" x14ac:dyDescent="0.2">
      <c r="A80" s="76" t="s">
        <v>382</v>
      </c>
      <c r="B80" s="75"/>
      <c r="C80" s="75"/>
      <c r="D80" s="75"/>
      <c r="E80" s="75"/>
      <c r="F80" s="75"/>
      <c r="G80" s="75"/>
      <c r="H80" s="75"/>
      <c r="I80" s="75"/>
      <c r="J80" s="75"/>
      <c r="K80" s="75"/>
      <c r="L80" s="75"/>
      <c r="M80" s="75"/>
      <c r="N80" s="75"/>
      <c r="O80" s="75"/>
      <c r="P80" s="75"/>
      <c r="Q80" s="75"/>
      <c r="R80" s="75"/>
      <c r="S80" s="75"/>
      <c r="T80" s="51"/>
    </row>
    <row r="81" spans="1:20" s="9" customFormat="1" ht="11.25" x14ac:dyDescent="0.2">
      <c r="A81" s="75" t="s">
        <v>478</v>
      </c>
      <c r="B81" s="75"/>
      <c r="C81" s="75"/>
      <c r="D81" s="75"/>
      <c r="E81" s="75"/>
      <c r="F81" s="75"/>
      <c r="G81" s="75"/>
      <c r="H81" s="75"/>
      <c r="I81" s="75"/>
      <c r="J81" s="75"/>
      <c r="K81" s="75"/>
      <c r="L81" s="75"/>
      <c r="M81" s="75"/>
      <c r="N81" s="75"/>
      <c r="O81" s="75"/>
      <c r="P81" s="75"/>
      <c r="Q81" s="75"/>
      <c r="R81" s="75"/>
      <c r="S81" s="75"/>
      <c r="T81" s="51"/>
    </row>
    <row r="82" spans="1:20" s="9" customFormat="1" ht="44.25" customHeight="1" x14ac:dyDescent="0.2">
      <c r="A82" s="67" t="s">
        <v>320</v>
      </c>
      <c r="B82" s="64" t="s">
        <v>295</v>
      </c>
      <c r="C82" s="65">
        <v>0.24260000000000001</v>
      </c>
      <c r="D82" s="66" t="s">
        <v>298</v>
      </c>
      <c r="E82" s="65">
        <v>0.26071778519947397</v>
      </c>
      <c r="F82" s="66" t="s">
        <v>0</v>
      </c>
      <c r="G82" s="87">
        <f>VLOOKUP(A3,'Old Data'!A1:CM88,58,FALSE)</f>
        <v>0.36052227342549897</v>
      </c>
      <c r="H82" s="66" t="s">
        <v>1</v>
      </c>
      <c r="I82" s="11" t="str">
        <f>IF(OR(G82="NA",G82="**"),"NA",IF(G82&gt;C82,"Not Met","Met"))</f>
        <v>Not Met</v>
      </c>
      <c r="J82" s="25"/>
      <c r="L82" s="25"/>
      <c r="M82" s="25"/>
      <c r="N82" s="25"/>
    </row>
    <row r="83" spans="1:20" s="9" customFormat="1" ht="11.25" x14ac:dyDescent="0.2">
      <c r="A83" s="76" t="s">
        <v>383</v>
      </c>
      <c r="B83" s="75"/>
      <c r="C83" s="75"/>
      <c r="D83" s="75"/>
      <c r="E83" s="75"/>
      <c r="F83" s="75"/>
      <c r="G83" s="75"/>
      <c r="H83" s="75"/>
      <c r="I83" s="75"/>
      <c r="J83" s="75"/>
      <c r="K83" s="75"/>
      <c r="L83" s="75"/>
      <c r="M83" s="75"/>
      <c r="N83" s="75"/>
      <c r="O83" s="75"/>
      <c r="P83" s="75"/>
      <c r="Q83" s="75"/>
      <c r="R83" s="75"/>
      <c r="S83" s="75"/>
      <c r="T83" s="51"/>
    </row>
    <row r="84" spans="1:20" s="9" customFormat="1" ht="11.25" x14ac:dyDescent="0.2">
      <c r="A84" s="75" t="s">
        <v>479</v>
      </c>
      <c r="B84" s="75"/>
      <c r="C84" s="75"/>
      <c r="D84" s="75"/>
      <c r="E84" s="75"/>
      <c r="F84" s="75"/>
      <c r="G84" s="75"/>
      <c r="H84" s="75"/>
      <c r="I84" s="75"/>
      <c r="J84" s="75"/>
      <c r="K84" s="75"/>
      <c r="L84" s="75"/>
      <c r="M84" s="75"/>
      <c r="N84" s="75"/>
      <c r="O84" s="75"/>
      <c r="P84" s="75"/>
      <c r="Q84" s="75"/>
      <c r="R84" s="75"/>
      <c r="S84" s="75"/>
      <c r="T84" s="51"/>
    </row>
    <row r="85" spans="1:20" s="9" customFormat="1" ht="44.25" customHeight="1" x14ac:dyDescent="0.2">
      <c r="A85" s="67" t="s">
        <v>320</v>
      </c>
      <c r="B85" s="64" t="s">
        <v>295</v>
      </c>
      <c r="C85" s="65">
        <v>0.2477</v>
      </c>
      <c r="D85" s="66" t="s">
        <v>298</v>
      </c>
      <c r="E85" s="65">
        <v>0.257630585454103</v>
      </c>
      <c r="F85" s="66" t="s">
        <v>0</v>
      </c>
      <c r="G85" s="87">
        <f>VLOOKUP(A3,'Old Data'!A1:CM88,59,FALSE)</f>
        <v>0.247435897435897</v>
      </c>
      <c r="H85" s="66" t="s">
        <v>1</v>
      </c>
      <c r="I85" s="11" t="str">
        <f>IF(OR(G85="NA",G85="**"),"NA",IF(G85&gt;C85,"Not Met","Met"))</f>
        <v>Met</v>
      </c>
      <c r="J85" s="25"/>
      <c r="L85" s="25"/>
      <c r="M85" s="25"/>
      <c r="N85" s="25"/>
    </row>
    <row r="86" spans="1:20" s="9" customFormat="1" ht="11.25" x14ac:dyDescent="0.2">
      <c r="A86" s="76" t="s">
        <v>384</v>
      </c>
      <c r="B86" s="75"/>
      <c r="C86" s="75"/>
      <c r="D86" s="75"/>
      <c r="E86" s="75"/>
      <c r="F86" s="75"/>
      <c r="G86" s="75"/>
      <c r="H86" s="75"/>
      <c r="I86" s="75"/>
      <c r="J86" s="75"/>
      <c r="K86" s="75"/>
      <c r="L86" s="75"/>
      <c r="M86" s="75"/>
      <c r="N86" s="75"/>
      <c r="O86" s="75"/>
      <c r="P86" s="75"/>
      <c r="Q86" s="75"/>
      <c r="R86" s="75"/>
      <c r="S86" s="75"/>
      <c r="T86" s="51"/>
    </row>
    <row r="87" spans="1:20" s="9" customFormat="1" ht="11.25" x14ac:dyDescent="0.2">
      <c r="A87" s="75" t="s">
        <v>480</v>
      </c>
      <c r="B87" s="75"/>
      <c r="C87" s="75"/>
      <c r="D87" s="75"/>
      <c r="E87" s="75"/>
      <c r="F87" s="75"/>
      <c r="G87" s="75"/>
      <c r="H87" s="75"/>
      <c r="I87" s="75"/>
      <c r="J87" s="75"/>
      <c r="K87" s="75"/>
      <c r="L87" s="75"/>
      <c r="M87" s="75"/>
      <c r="N87" s="75"/>
      <c r="O87" s="75"/>
      <c r="P87" s="75"/>
      <c r="Q87" s="75"/>
      <c r="R87" s="75"/>
      <c r="S87" s="75"/>
      <c r="T87" s="51"/>
    </row>
    <row r="88" spans="1:20" s="9" customFormat="1" ht="44.25" customHeight="1" x14ac:dyDescent="0.2">
      <c r="A88" s="67" t="s">
        <v>320</v>
      </c>
      <c r="B88" s="64" t="s">
        <v>295</v>
      </c>
      <c r="C88" s="65">
        <v>0.25679999999999997</v>
      </c>
      <c r="D88" s="66" t="s">
        <v>298</v>
      </c>
      <c r="E88" s="65">
        <v>0.27764968824458303</v>
      </c>
      <c r="F88" s="66" t="s">
        <v>0</v>
      </c>
      <c r="G88" s="87">
        <f>VLOOKUP(A3,'Old Data'!A1:CM88,60,FALSE)</f>
        <v>0.29244694132334598</v>
      </c>
      <c r="H88" s="66" t="s">
        <v>1</v>
      </c>
      <c r="I88" s="11" t="str">
        <f>IF(OR(G88="NA",G88="**"),"NA",IF(G88&gt;C88,"Not Met","Met"))</f>
        <v>Not Met</v>
      </c>
      <c r="J88" s="25"/>
      <c r="L88" s="25"/>
      <c r="M88" s="25"/>
      <c r="N88" s="25"/>
    </row>
    <row r="89" spans="1:20" s="9" customFormat="1" ht="14.25" x14ac:dyDescent="0.2">
      <c r="A89" s="24" t="s">
        <v>334</v>
      </c>
      <c r="B89" s="24"/>
      <c r="C89" s="24"/>
      <c r="D89" s="24"/>
      <c r="E89" s="24"/>
      <c r="F89" s="24"/>
      <c r="G89" s="24"/>
      <c r="H89" s="24"/>
      <c r="I89" s="24"/>
      <c r="J89" s="24"/>
      <c r="K89" s="24"/>
      <c r="L89" s="24"/>
      <c r="M89" s="24"/>
      <c r="N89" s="24"/>
      <c r="O89" s="24"/>
      <c r="P89" s="24"/>
      <c r="Q89" s="24"/>
      <c r="R89" s="24"/>
      <c r="S89" s="24"/>
      <c r="T89" s="52"/>
    </row>
    <row r="90" spans="1:20" s="9" customFormat="1" ht="11.25" x14ac:dyDescent="0.2">
      <c r="A90" s="76" t="s">
        <v>385</v>
      </c>
      <c r="B90" s="75"/>
      <c r="C90" s="75"/>
      <c r="D90" s="75"/>
      <c r="E90" s="75"/>
      <c r="F90" s="75"/>
      <c r="G90" s="75"/>
      <c r="H90" s="75"/>
      <c r="I90" s="75"/>
      <c r="J90" s="75"/>
      <c r="K90" s="75"/>
      <c r="L90" s="75"/>
      <c r="M90" s="75"/>
      <c r="N90" s="75"/>
      <c r="O90" s="75"/>
      <c r="P90" s="75"/>
      <c r="Q90" s="75"/>
      <c r="R90" s="75"/>
      <c r="S90" s="75"/>
      <c r="T90" s="51"/>
    </row>
    <row r="91" spans="1:20" s="9" customFormat="1" ht="11.25" x14ac:dyDescent="0.2">
      <c r="A91" s="75" t="s">
        <v>386</v>
      </c>
      <c r="B91" s="75"/>
      <c r="C91" s="75"/>
      <c r="D91" s="75"/>
      <c r="E91" s="75"/>
      <c r="F91" s="75"/>
      <c r="G91" s="75"/>
      <c r="H91" s="75"/>
      <c r="I91" s="75"/>
      <c r="J91" s="75"/>
      <c r="K91" s="75"/>
      <c r="L91" s="75"/>
      <c r="M91" s="75"/>
      <c r="N91" s="75"/>
      <c r="O91" s="75"/>
      <c r="P91" s="75"/>
      <c r="Q91" s="75"/>
      <c r="R91" s="75"/>
      <c r="S91" s="75"/>
      <c r="T91" s="51"/>
    </row>
    <row r="92" spans="1:20" s="9" customFormat="1" ht="44.25" customHeight="1" x14ac:dyDescent="0.2">
      <c r="A92" s="67" t="s">
        <v>320</v>
      </c>
      <c r="B92" s="64" t="s">
        <v>296</v>
      </c>
      <c r="C92" s="65" t="s">
        <v>2</v>
      </c>
      <c r="D92" s="66" t="s">
        <v>298</v>
      </c>
      <c r="E92" s="65" t="s">
        <v>23</v>
      </c>
      <c r="F92" s="66" t="s">
        <v>0</v>
      </c>
      <c r="G92" s="87" t="str">
        <f>VLOOKUP(A3,'Old Data'!A1:CM88,61,FALSE)</f>
        <v>No</v>
      </c>
      <c r="H92" s="66" t="s">
        <v>1</v>
      </c>
      <c r="I92" s="11" t="str">
        <f t="shared" ref="I92" si="1">IF(OR(G92="NA",G92="**"),"NA",IF(G92="No","Met",IF(G92="Yes","Not Met")))</f>
        <v>Met</v>
      </c>
      <c r="J92" s="54"/>
      <c r="K92" s="55"/>
      <c r="L92" s="54"/>
      <c r="M92" s="54"/>
      <c r="N92" s="54"/>
      <c r="O92" s="55"/>
      <c r="P92" s="55"/>
      <c r="Q92" s="55"/>
      <c r="R92" s="55"/>
      <c r="S92" s="55"/>
    </row>
    <row r="93" spans="1:20" s="9" customFormat="1" ht="11.25" x14ac:dyDescent="0.2">
      <c r="A93" s="76" t="s">
        <v>387</v>
      </c>
      <c r="B93" s="75"/>
      <c r="C93" s="75"/>
      <c r="D93" s="75"/>
      <c r="E93" s="75"/>
      <c r="F93" s="75"/>
      <c r="G93" s="75"/>
      <c r="H93" s="75"/>
      <c r="I93" s="75"/>
      <c r="J93" s="75"/>
      <c r="K93" s="75"/>
      <c r="L93" s="75"/>
      <c r="M93" s="75"/>
      <c r="N93" s="75"/>
      <c r="O93" s="75"/>
      <c r="P93" s="75"/>
      <c r="Q93" s="75"/>
      <c r="R93" s="75"/>
      <c r="S93" s="75"/>
      <c r="T93" s="51"/>
    </row>
    <row r="94" spans="1:20" s="9" customFormat="1" ht="11.25" x14ac:dyDescent="0.2">
      <c r="A94" s="75" t="s">
        <v>388</v>
      </c>
      <c r="B94" s="75"/>
      <c r="C94" s="75"/>
      <c r="D94" s="75"/>
      <c r="E94" s="75"/>
      <c r="F94" s="75"/>
      <c r="G94" s="75"/>
      <c r="H94" s="75"/>
      <c r="I94" s="75"/>
      <c r="J94" s="75"/>
      <c r="K94" s="75"/>
      <c r="L94" s="75"/>
      <c r="M94" s="75"/>
      <c r="N94" s="75"/>
      <c r="O94" s="75"/>
      <c r="P94" s="75"/>
      <c r="Q94" s="75"/>
      <c r="R94" s="75"/>
      <c r="S94" s="75"/>
      <c r="T94" s="51"/>
    </row>
    <row r="95" spans="1:20" s="9" customFormat="1" ht="44.25" customHeight="1" x14ac:dyDescent="0.2">
      <c r="A95" s="67" t="s">
        <v>320</v>
      </c>
      <c r="B95" s="64" t="s">
        <v>296</v>
      </c>
      <c r="C95" s="65" t="s">
        <v>2</v>
      </c>
      <c r="D95" s="66" t="s">
        <v>298</v>
      </c>
      <c r="E95" s="65" t="s">
        <v>23</v>
      </c>
      <c r="F95" s="66" t="s">
        <v>0</v>
      </c>
      <c r="G95" s="87" t="str">
        <f>VLOOKUP(A3,'Old Data'!A1:CM88,62,FALSE)</f>
        <v>No</v>
      </c>
      <c r="H95" s="66" t="s">
        <v>1</v>
      </c>
      <c r="I95" s="11" t="str">
        <f>IF(OR(G95="NA",G95="**"),"NA",IF(G95="No","Met",IF(G95="Yes","Not Met")))</f>
        <v>Met</v>
      </c>
      <c r="J95" s="54"/>
      <c r="K95" s="55"/>
      <c r="L95" s="54"/>
      <c r="M95" s="54"/>
      <c r="N95" s="54"/>
      <c r="O95" s="55"/>
      <c r="P95" s="55"/>
      <c r="Q95" s="55"/>
      <c r="R95" s="55"/>
      <c r="S95" s="55"/>
    </row>
    <row r="96" spans="1:20" s="9" customFormat="1" ht="14.25" x14ac:dyDescent="0.2">
      <c r="A96" s="24" t="s">
        <v>335</v>
      </c>
      <c r="B96" s="24"/>
      <c r="C96" s="24"/>
      <c r="D96" s="24"/>
      <c r="E96" s="24"/>
      <c r="F96" s="24"/>
      <c r="G96" s="24"/>
      <c r="H96" s="24"/>
      <c r="I96" s="24"/>
      <c r="J96" s="24"/>
      <c r="K96" s="24"/>
      <c r="L96" s="24"/>
      <c r="M96" s="24"/>
      <c r="N96" s="24"/>
      <c r="O96" s="24"/>
      <c r="P96" s="24"/>
      <c r="Q96" s="24"/>
      <c r="R96" s="24"/>
      <c r="S96" s="24"/>
      <c r="T96" s="52"/>
    </row>
    <row r="97" spans="1:20" s="9" customFormat="1" ht="11.25" x14ac:dyDescent="0.2">
      <c r="A97" s="76" t="s">
        <v>389</v>
      </c>
      <c r="B97" s="75"/>
      <c r="C97" s="75"/>
      <c r="D97" s="75"/>
      <c r="E97" s="75"/>
      <c r="F97" s="75"/>
      <c r="G97" s="75"/>
      <c r="H97" s="75"/>
      <c r="I97" s="75"/>
      <c r="J97" s="75"/>
      <c r="K97" s="75"/>
      <c r="L97" s="75"/>
      <c r="M97" s="75"/>
      <c r="N97" s="75"/>
      <c r="O97" s="75"/>
      <c r="P97" s="75"/>
      <c r="Q97" s="75"/>
      <c r="R97" s="75"/>
      <c r="S97" s="75"/>
      <c r="T97" s="51"/>
    </row>
    <row r="98" spans="1:20" s="9" customFormat="1" ht="11.25" x14ac:dyDescent="0.2">
      <c r="A98" s="75" t="s">
        <v>390</v>
      </c>
      <c r="B98" s="75"/>
      <c r="C98" s="75"/>
      <c r="D98" s="75"/>
      <c r="E98" s="75"/>
      <c r="F98" s="75"/>
      <c r="G98" s="75"/>
      <c r="H98" s="75"/>
      <c r="I98" s="75"/>
      <c r="J98" s="75"/>
      <c r="K98" s="75"/>
      <c r="L98" s="75"/>
      <c r="M98" s="75"/>
      <c r="N98" s="75"/>
      <c r="O98" s="75"/>
      <c r="P98" s="75"/>
      <c r="Q98" s="75"/>
      <c r="R98" s="75"/>
      <c r="S98" s="75"/>
      <c r="T98" s="51"/>
    </row>
    <row r="99" spans="1:20" s="9" customFormat="1" ht="44.25" customHeight="1" x14ac:dyDescent="0.2">
      <c r="A99" s="67" t="s">
        <v>320</v>
      </c>
      <c r="B99" s="64" t="s">
        <v>294</v>
      </c>
      <c r="C99" s="65">
        <v>0.6361</v>
      </c>
      <c r="D99" s="66" t="s">
        <v>298</v>
      </c>
      <c r="E99" s="65">
        <v>0.64070000000000005</v>
      </c>
      <c r="F99" s="66" t="s">
        <v>0</v>
      </c>
      <c r="G99" s="87">
        <f>VLOOKUP(A3,'Old Data'!A1:CM88,63,FALSE)</f>
        <v>0.69120000000000004</v>
      </c>
      <c r="H99" s="66" t="s">
        <v>1</v>
      </c>
      <c r="I99" s="11" t="str">
        <f t="shared" ref="I99" si="2">IF(OR(G99="NA",G99="**"),"NA",IF(G99&lt;C99,"Not Met","Met"))</f>
        <v>Met</v>
      </c>
      <c r="J99" s="25"/>
      <c r="L99" s="25"/>
      <c r="M99" s="25"/>
      <c r="N99" s="25"/>
    </row>
    <row r="100" spans="1:20" s="9" customFormat="1" ht="11.25" x14ac:dyDescent="0.2">
      <c r="A100" s="76" t="s">
        <v>391</v>
      </c>
      <c r="B100" s="75"/>
      <c r="C100" s="75"/>
      <c r="D100" s="75"/>
      <c r="E100" s="75"/>
      <c r="F100" s="75"/>
      <c r="G100" s="75"/>
      <c r="H100" s="75"/>
      <c r="I100" s="75"/>
      <c r="J100" s="75"/>
      <c r="K100" s="75"/>
      <c r="L100" s="75"/>
      <c r="M100" s="75"/>
      <c r="N100" s="75"/>
      <c r="O100" s="75"/>
      <c r="P100" s="75"/>
      <c r="Q100" s="75"/>
      <c r="R100" s="75"/>
      <c r="S100" s="75"/>
      <c r="T100" s="51"/>
    </row>
    <row r="101" spans="1:20" s="9" customFormat="1" ht="11.25" x14ac:dyDescent="0.2">
      <c r="A101" s="75" t="s">
        <v>392</v>
      </c>
      <c r="B101" s="75"/>
      <c r="C101" s="75"/>
      <c r="D101" s="75"/>
      <c r="E101" s="75"/>
      <c r="F101" s="75"/>
      <c r="G101" s="75"/>
      <c r="H101" s="75"/>
      <c r="I101" s="75"/>
      <c r="J101" s="75"/>
      <c r="K101" s="75"/>
      <c r="L101" s="75"/>
      <c r="M101" s="75"/>
      <c r="N101" s="75"/>
      <c r="O101" s="75"/>
      <c r="P101" s="75"/>
      <c r="Q101" s="75"/>
      <c r="R101" s="75"/>
      <c r="S101" s="75"/>
      <c r="T101" s="51"/>
    </row>
    <row r="102" spans="1:20" s="9" customFormat="1" ht="44.25" customHeight="1" x14ac:dyDescent="0.2">
      <c r="A102" s="67" t="s">
        <v>320</v>
      </c>
      <c r="B102" s="64" t="s">
        <v>295</v>
      </c>
      <c r="C102" s="65">
        <v>0.1439</v>
      </c>
      <c r="D102" s="66" t="s">
        <v>298</v>
      </c>
      <c r="E102" s="65">
        <v>0.14849999999999999</v>
      </c>
      <c r="F102" s="66" t="s">
        <v>0</v>
      </c>
      <c r="G102" s="87">
        <f>VLOOKUP(A3,'Old Data'!A1:CM88,64,FALSE)</f>
        <v>0.13880000000000001</v>
      </c>
      <c r="H102" s="66" t="s">
        <v>1</v>
      </c>
      <c r="I102" s="11" t="str">
        <f>IF(OR(G102="NA",G102="**"),"NA",IF(G102&gt;C102,"Not Met","Met"))</f>
        <v>Met</v>
      </c>
      <c r="J102" s="25"/>
      <c r="L102" s="25"/>
      <c r="M102" s="25"/>
      <c r="N102" s="25"/>
    </row>
    <row r="103" spans="1:20" s="9" customFormat="1" ht="11.25" x14ac:dyDescent="0.2">
      <c r="A103" s="76" t="s">
        <v>393</v>
      </c>
      <c r="B103" s="75"/>
      <c r="C103" s="75"/>
      <c r="D103" s="75"/>
      <c r="E103" s="75"/>
      <c r="F103" s="75"/>
      <c r="G103" s="75"/>
      <c r="H103" s="75"/>
      <c r="I103" s="75"/>
      <c r="J103" s="75"/>
      <c r="K103" s="75"/>
      <c r="L103" s="75"/>
      <c r="M103" s="75"/>
      <c r="N103" s="75"/>
      <c r="O103" s="75"/>
      <c r="P103" s="75"/>
      <c r="Q103" s="75"/>
      <c r="R103" s="75"/>
      <c r="S103" s="75"/>
      <c r="T103" s="51"/>
    </row>
    <row r="104" spans="1:20" s="9" customFormat="1" ht="11.25" x14ac:dyDescent="0.2">
      <c r="A104" s="75" t="s">
        <v>394</v>
      </c>
      <c r="B104" s="75"/>
      <c r="C104" s="75"/>
      <c r="D104" s="75"/>
      <c r="E104" s="75"/>
      <c r="F104" s="75"/>
      <c r="G104" s="75"/>
      <c r="H104" s="75"/>
      <c r="I104" s="75"/>
      <c r="J104" s="75"/>
      <c r="K104" s="75"/>
      <c r="L104" s="75"/>
      <c r="M104" s="75"/>
      <c r="N104" s="75"/>
      <c r="O104" s="75"/>
      <c r="P104" s="75"/>
      <c r="Q104" s="75"/>
      <c r="R104" s="75"/>
      <c r="S104" s="75"/>
      <c r="T104" s="51"/>
    </row>
    <row r="105" spans="1:20" s="9" customFormat="1" ht="44.25" customHeight="1" x14ac:dyDescent="0.2">
      <c r="A105" s="67" t="s">
        <v>320</v>
      </c>
      <c r="B105" s="64" t="s">
        <v>295</v>
      </c>
      <c r="C105" s="65">
        <v>1.18E-2</v>
      </c>
      <c r="D105" s="66" t="s">
        <v>298</v>
      </c>
      <c r="E105" s="65">
        <v>1.47E-2</v>
      </c>
      <c r="F105" s="66" t="s">
        <v>0</v>
      </c>
      <c r="G105" s="87">
        <f>VLOOKUP(A3,'Old Data'!A1:CM88,65,FALSE)</f>
        <v>1.1299999999999999E-2</v>
      </c>
      <c r="H105" s="66" t="s">
        <v>1</v>
      </c>
      <c r="I105" s="11" t="str">
        <f>IF(OR(G105="NA",G105="**"),"NA",IF(G105&gt;C105,"Not Met","Met"))</f>
        <v>Met</v>
      </c>
      <c r="J105" s="25"/>
      <c r="L105" s="25"/>
      <c r="M105" s="25"/>
      <c r="N105" s="25"/>
    </row>
    <row r="106" spans="1:20" s="9" customFormat="1" ht="14.25" x14ac:dyDescent="0.2">
      <c r="A106" s="24" t="s">
        <v>336</v>
      </c>
      <c r="B106" s="24"/>
      <c r="C106" s="24"/>
      <c r="D106" s="24"/>
      <c r="E106" s="24"/>
      <c r="F106" s="24"/>
      <c r="G106" s="24"/>
      <c r="H106" s="24"/>
      <c r="I106" s="24"/>
      <c r="J106" s="24"/>
      <c r="K106" s="24"/>
      <c r="L106" s="24"/>
      <c r="M106" s="24"/>
      <c r="N106" s="24"/>
      <c r="O106" s="24"/>
      <c r="P106" s="24"/>
      <c r="Q106" s="24"/>
      <c r="R106" s="24"/>
      <c r="S106" s="24"/>
      <c r="T106" s="52"/>
    </row>
    <row r="107" spans="1:20" s="9" customFormat="1" ht="11.25" x14ac:dyDescent="0.2">
      <c r="A107" s="76" t="s">
        <v>395</v>
      </c>
      <c r="B107" s="75"/>
      <c r="C107" s="75"/>
      <c r="D107" s="75"/>
      <c r="E107" s="75"/>
      <c r="F107" s="75"/>
      <c r="G107" s="75"/>
      <c r="H107" s="75"/>
      <c r="I107" s="75"/>
      <c r="J107" s="75"/>
      <c r="K107" s="75"/>
      <c r="L107" s="75"/>
      <c r="M107" s="75"/>
      <c r="N107" s="75"/>
      <c r="O107" s="75"/>
      <c r="P107" s="75"/>
      <c r="Q107" s="75"/>
      <c r="R107" s="75"/>
      <c r="S107" s="75"/>
      <c r="T107" s="51"/>
    </row>
    <row r="108" spans="1:20" s="9" customFormat="1" ht="11.25" x14ac:dyDescent="0.2">
      <c r="A108" s="75" t="s">
        <v>396</v>
      </c>
      <c r="B108" s="75"/>
      <c r="C108" s="75"/>
      <c r="D108" s="75"/>
      <c r="E108" s="75"/>
      <c r="F108" s="75"/>
      <c r="G108" s="75"/>
      <c r="H108" s="75"/>
      <c r="I108" s="75"/>
      <c r="J108" s="75"/>
      <c r="K108" s="75"/>
      <c r="L108" s="75"/>
      <c r="M108" s="75"/>
      <c r="N108" s="75"/>
      <c r="O108" s="75"/>
      <c r="P108" s="75"/>
      <c r="Q108" s="75"/>
      <c r="R108" s="75"/>
      <c r="S108" s="75"/>
      <c r="T108" s="51"/>
    </row>
    <row r="109" spans="1:20" s="9" customFormat="1" ht="44.25" customHeight="1" x14ac:dyDescent="0.2">
      <c r="A109" s="67" t="s">
        <v>320</v>
      </c>
      <c r="B109" s="64" t="s">
        <v>294</v>
      </c>
      <c r="C109" s="65">
        <v>0.17680000000000001</v>
      </c>
      <c r="D109" s="66" t="s">
        <v>298</v>
      </c>
      <c r="E109" s="65">
        <v>0.16420000000000001</v>
      </c>
      <c r="F109" s="66" t="s">
        <v>0</v>
      </c>
      <c r="G109" s="87">
        <f>VLOOKUP(A3,'Old Data'!A1:CM88,66,FALSE)</f>
        <v>0</v>
      </c>
      <c r="H109" s="66" t="s">
        <v>1</v>
      </c>
      <c r="I109" s="11" t="str">
        <f>IF(OR(G109="NA",G109="**"),"NA",IF(G109&lt;C109,"Not Met","Met"))</f>
        <v>Not Met</v>
      </c>
      <c r="J109" s="25"/>
      <c r="L109" s="25"/>
      <c r="M109" s="25"/>
      <c r="N109" s="25"/>
    </row>
    <row r="110" spans="1:20" s="9" customFormat="1" ht="11.25" x14ac:dyDescent="0.2">
      <c r="A110" s="76" t="s">
        <v>397</v>
      </c>
      <c r="B110" s="75"/>
      <c r="C110" s="75"/>
      <c r="D110" s="75"/>
      <c r="E110" s="75"/>
      <c r="F110" s="75"/>
      <c r="G110" s="75"/>
      <c r="H110" s="75"/>
      <c r="I110" s="75"/>
      <c r="J110" s="75"/>
      <c r="K110" s="75"/>
      <c r="L110" s="75"/>
      <c r="M110" s="75"/>
      <c r="N110" s="75"/>
      <c r="O110" s="75"/>
      <c r="P110" s="75"/>
      <c r="Q110" s="75"/>
      <c r="R110" s="75"/>
      <c r="S110" s="75"/>
      <c r="T110" s="51"/>
    </row>
    <row r="111" spans="1:20" s="9" customFormat="1" ht="11.25" x14ac:dyDescent="0.2">
      <c r="A111" s="75" t="s">
        <v>398</v>
      </c>
      <c r="B111" s="75"/>
      <c r="C111" s="75"/>
      <c r="D111" s="75"/>
      <c r="E111" s="75"/>
      <c r="F111" s="75"/>
      <c r="G111" s="75"/>
      <c r="H111" s="75"/>
      <c r="I111" s="75"/>
      <c r="J111" s="75"/>
      <c r="K111" s="75"/>
      <c r="L111" s="75"/>
      <c r="M111" s="75"/>
      <c r="N111" s="75"/>
      <c r="O111" s="75"/>
      <c r="P111" s="75"/>
      <c r="Q111" s="75"/>
      <c r="R111" s="75"/>
      <c r="S111" s="75"/>
      <c r="T111" s="51"/>
    </row>
    <row r="112" spans="1:20" s="9" customFormat="1" ht="44.25" customHeight="1" x14ac:dyDescent="0.2">
      <c r="A112" s="67" t="s">
        <v>320</v>
      </c>
      <c r="B112" s="64" t="s">
        <v>294</v>
      </c>
      <c r="C112" s="65">
        <v>0.41299999999999998</v>
      </c>
      <c r="D112" s="66" t="s">
        <v>298</v>
      </c>
      <c r="E112" s="65">
        <v>0.46089999999999998</v>
      </c>
      <c r="F112" s="66" t="s">
        <v>0</v>
      </c>
      <c r="G112" s="87">
        <f>VLOOKUP(A3,'Old Data'!A1:CM88,67,FALSE)</f>
        <v>0.85709999999999997</v>
      </c>
      <c r="H112" s="66" t="s">
        <v>1</v>
      </c>
      <c r="I112" s="11" t="str">
        <f t="shared" ref="I112:I180" si="3">IF(OR(G112="NA",G112="**"),"NA",IF(G112&lt;C112,"Not Met","Met"))</f>
        <v>Met</v>
      </c>
      <c r="J112" s="25"/>
      <c r="L112" s="25"/>
      <c r="M112" s="25"/>
      <c r="N112" s="25"/>
    </row>
    <row r="113" spans="1:20" s="9" customFormat="1" ht="11.25" x14ac:dyDescent="0.2">
      <c r="A113" s="76" t="s">
        <v>399</v>
      </c>
      <c r="B113" s="75"/>
      <c r="C113" s="75"/>
      <c r="D113" s="75"/>
      <c r="E113" s="75"/>
      <c r="F113" s="75"/>
      <c r="G113" s="75"/>
      <c r="H113" s="75"/>
      <c r="I113" s="75"/>
      <c r="J113" s="75"/>
      <c r="K113" s="75"/>
      <c r="L113" s="75"/>
      <c r="M113" s="75"/>
      <c r="N113" s="75"/>
      <c r="O113" s="75"/>
      <c r="P113" s="75"/>
      <c r="Q113" s="75"/>
      <c r="R113" s="75"/>
      <c r="S113" s="75"/>
      <c r="T113" s="51"/>
    </row>
    <row r="114" spans="1:20" s="9" customFormat="1" ht="11.25" x14ac:dyDescent="0.2">
      <c r="A114" s="75" t="s">
        <v>400</v>
      </c>
      <c r="B114" s="75"/>
      <c r="C114" s="75"/>
      <c r="D114" s="75"/>
      <c r="E114" s="75"/>
      <c r="F114" s="75"/>
      <c r="G114" s="75"/>
      <c r="H114" s="75"/>
      <c r="I114" s="75"/>
      <c r="J114" s="75"/>
      <c r="K114" s="75"/>
      <c r="L114" s="75"/>
      <c r="M114" s="75"/>
      <c r="N114" s="75"/>
      <c r="O114" s="75"/>
      <c r="P114" s="75"/>
      <c r="Q114" s="75"/>
      <c r="R114" s="75"/>
      <c r="S114" s="75"/>
      <c r="T114" s="51"/>
    </row>
    <row r="115" spans="1:20" s="9" customFormat="1" ht="44.25" customHeight="1" x14ac:dyDescent="0.2">
      <c r="A115" s="67" t="s">
        <v>320</v>
      </c>
      <c r="B115" s="64" t="s">
        <v>294</v>
      </c>
      <c r="C115" s="65">
        <v>0.52</v>
      </c>
      <c r="D115" s="66" t="s">
        <v>298</v>
      </c>
      <c r="E115" s="65">
        <v>0.4955</v>
      </c>
      <c r="F115" s="66" t="s">
        <v>0</v>
      </c>
      <c r="G115" s="87" t="str">
        <f>VLOOKUP(A3,'Old Data'!A1:CM88,68,FALSE)</f>
        <v>NA</v>
      </c>
      <c r="H115" s="66" t="s">
        <v>1</v>
      </c>
      <c r="I115" s="11" t="str">
        <f t="shared" si="3"/>
        <v>NA</v>
      </c>
      <c r="J115" s="25"/>
      <c r="L115" s="25"/>
      <c r="M115" s="25"/>
      <c r="N115" s="25"/>
    </row>
    <row r="116" spans="1:20" s="9" customFormat="1" ht="11.25" x14ac:dyDescent="0.2">
      <c r="A116" s="76" t="s">
        <v>401</v>
      </c>
      <c r="B116" s="75"/>
      <c r="C116" s="75"/>
      <c r="D116" s="75"/>
      <c r="E116" s="75"/>
      <c r="F116" s="75"/>
      <c r="G116" s="75"/>
      <c r="H116" s="75"/>
      <c r="I116" s="75"/>
      <c r="J116" s="75"/>
      <c r="K116" s="75"/>
      <c r="L116" s="75"/>
      <c r="M116" s="75"/>
      <c r="N116" s="75"/>
      <c r="O116" s="75"/>
      <c r="P116" s="75"/>
      <c r="Q116" s="75"/>
      <c r="R116" s="75"/>
      <c r="S116" s="75"/>
      <c r="T116" s="51"/>
    </row>
    <row r="117" spans="1:20" s="9" customFormat="1" ht="11.25" x14ac:dyDescent="0.2">
      <c r="A117" s="38" t="s">
        <v>402</v>
      </c>
      <c r="B117" s="38"/>
      <c r="C117" s="38"/>
      <c r="D117" s="38"/>
      <c r="E117" s="38"/>
      <c r="F117" s="38"/>
      <c r="G117" s="38"/>
      <c r="H117" s="38"/>
      <c r="I117" s="38"/>
      <c r="J117" s="38"/>
      <c r="K117" s="38"/>
      <c r="L117" s="38"/>
      <c r="M117" s="38"/>
      <c r="N117" s="38"/>
      <c r="O117" s="38"/>
      <c r="P117" s="38"/>
      <c r="Q117" s="38"/>
      <c r="R117" s="38"/>
      <c r="S117" s="38"/>
      <c r="T117" s="51"/>
    </row>
    <row r="118" spans="1:20" s="9" customFormat="1" ht="44.25" customHeight="1" x14ac:dyDescent="0.2">
      <c r="A118" s="67" t="s">
        <v>320</v>
      </c>
      <c r="B118" s="64" t="s">
        <v>295</v>
      </c>
      <c r="C118" s="65">
        <v>0.4148</v>
      </c>
      <c r="D118" s="66" t="s">
        <v>298</v>
      </c>
      <c r="E118" s="65">
        <v>0.441</v>
      </c>
      <c r="F118" s="66" t="s">
        <v>0</v>
      </c>
      <c r="G118" s="87">
        <f>VLOOKUP(A3,'Old Data'!A1:CM88,69,FALSE)</f>
        <v>0</v>
      </c>
      <c r="H118" s="66" t="s">
        <v>1</v>
      </c>
      <c r="I118" s="11" t="str">
        <f>IF(OR(G118="NA",G118="**"),"NA",IF(G118&gt;C118,"Not Met","Met"))</f>
        <v>Met</v>
      </c>
      <c r="J118" s="25"/>
      <c r="L118" s="25"/>
      <c r="M118" s="25"/>
      <c r="N118" s="25"/>
    </row>
    <row r="119" spans="1:20" s="9" customFormat="1" ht="11.25" x14ac:dyDescent="0.2">
      <c r="A119" s="76" t="s">
        <v>403</v>
      </c>
      <c r="B119" s="75"/>
      <c r="C119" s="75"/>
      <c r="D119" s="75"/>
      <c r="E119" s="75"/>
      <c r="F119" s="75"/>
      <c r="G119" s="75"/>
      <c r="H119" s="75"/>
      <c r="I119" s="75"/>
      <c r="J119" s="75"/>
      <c r="K119" s="75"/>
      <c r="L119" s="75"/>
      <c r="M119" s="75"/>
      <c r="N119" s="75"/>
      <c r="O119" s="75"/>
      <c r="P119" s="75"/>
      <c r="Q119" s="75"/>
      <c r="R119" s="75"/>
      <c r="S119" s="75"/>
      <c r="T119" s="51"/>
    </row>
    <row r="120" spans="1:20" s="9" customFormat="1" ht="11.25" x14ac:dyDescent="0.2">
      <c r="A120" s="75" t="s">
        <v>404</v>
      </c>
      <c r="B120" s="75"/>
      <c r="C120" s="75"/>
      <c r="D120" s="75"/>
      <c r="E120" s="75"/>
      <c r="F120" s="75"/>
      <c r="G120" s="75"/>
      <c r="H120" s="75"/>
      <c r="I120" s="75"/>
      <c r="J120" s="75"/>
      <c r="K120" s="75"/>
      <c r="L120" s="75"/>
      <c r="M120" s="75"/>
      <c r="N120" s="75"/>
      <c r="O120" s="75"/>
      <c r="P120" s="75"/>
      <c r="Q120" s="75"/>
      <c r="R120" s="75"/>
      <c r="S120" s="75"/>
      <c r="T120" s="51"/>
    </row>
    <row r="121" spans="1:20" s="9" customFormat="1" ht="44.25" customHeight="1" x14ac:dyDescent="0.2">
      <c r="A121" s="67" t="s">
        <v>320</v>
      </c>
      <c r="B121" s="64" t="s">
        <v>295</v>
      </c>
      <c r="C121" s="65">
        <v>0.27439999999999998</v>
      </c>
      <c r="D121" s="66" t="s">
        <v>298</v>
      </c>
      <c r="E121" s="65">
        <v>0.28610000000000002</v>
      </c>
      <c r="F121" s="66" t="s">
        <v>0</v>
      </c>
      <c r="G121" s="87">
        <f>VLOOKUP(A3,'Old Data'!A1:CM88,70,FALSE)</f>
        <v>0.45450000000000002</v>
      </c>
      <c r="H121" s="66" t="s">
        <v>1</v>
      </c>
      <c r="I121" s="11" t="str">
        <f>IF(OR(G121="NA",G121="**"),"NA",IF(G121&gt;C121,"Not Met","Met"))</f>
        <v>Not Met</v>
      </c>
      <c r="J121" s="25"/>
      <c r="L121" s="25"/>
      <c r="M121" s="25"/>
      <c r="N121" s="25"/>
    </row>
    <row r="122" spans="1:20" s="9" customFormat="1" ht="11.25" x14ac:dyDescent="0.2">
      <c r="A122" s="76" t="s">
        <v>405</v>
      </c>
      <c r="B122" s="75"/>
      <c r="C122" s="75"/>
      <c r="D122" s="75"/>
      <c r="E122" s="75"/>
      <c r="F122" s="75"/>
      <c r="G122" s="75"/>
      <c r="H122" s="75"/>
      <c r="I122" s="75"/>
      <c r="J122" s="75"/>
      <c r="K122" s="75"/>
      <c r="L122" s="75"/>
      <c r="M122" s="75"/>
      <c r="N122" s="75"/>
      <c r="O122" s="75"/>
      <c r="P122" s="75"/>
      <c r="Q122" s="75"/>
      <c r="R122" s="75"/>
      <c r="S122" s="75"/>
      <c r="T122" s="51"/>
    </row>
    <row r="123" spans="1:20" s="9" customFormat="1" ht="11.25" x14ac:dyDescent="0.2">
      <c r="A123" s="75" t="s">
        <v>406</v>
      </c>
      <c r="B123" s="75"/>
      <c r="C123" s="75"/>
      <c r="D123" s="75"/>
      <c r="E123" s="75"/>
      <c r="F123" s="75"/>
      <c r="G123" s="75"/>
      <c r="H123" s="75"/>
      <c r="I123" s="75"/>
      <c r="J123" s="75"/>
      <c r="K123" s="75"/>
      <c r="L123" s="75"/>
      <c r="M123" s="75"/>
      <c r="N123" s="75"/>
      <c r="O123" s="75"/>
      <c r="P123" s="75"/>
      <c r="Q123" s="75"/>
      <c r="R123" s="75"/>
      <c r="S123" s="75"/>
      <c r="T123" s="51"/>
    </row>
    <row r="124" spans="1:20" s="9" customFormat="1" ht="44.25" customHeight="1" x14ac:dyDescent="0.2">
      <c r="A124" s="67" t="s">
        <v>320</v>
      </c>
      <c r="B124" s="64" t="s">
        <v>295</v>
      </c>
      <c r="C124" s="65">
        <v>0.20100000000000001</v>
      </c>
      <c r="D124" s="66" t="s">
        <v>298</v>
      </c>
      <c r="E124" s="65">
        <v>9.1999999999999998E-3</v>
      </c>
      <c r="F124" s="66" t="s">
        <v>0</v>
      </c>
      <c r="G124" s="87">
        <f>VLOOKUP(A3,'Old Data'!A1:CM88,71,FALSE)</f>
        <v>0</v>
      </c>
      <c r="H124" s="66" t="s">
        <v>1</v>
      </c>
      <c r="I124" s="11" t="str">
        <f>IF(OR(G124="NA",G124="**"),"NA",IF(G124&gt;C124,"Not Met","Met"))</f>
        <v>Met</v>
      </c>
      <c r="J124" s="25"/>
      <c r="L124" s="25"/>
      <c r="M124" s="25"/>
      <c r="N124" s="25"/>
    </row>
    <row r="125" spans="1:20" s="9" customFormat="1" ht="11.25" x14ac:dyDescent="0.2">
      <c r="A125" s="76" t="s">
        <v>407</v>
      </c>
      <c r="B125" s="75"/>
      <c r="C125" s="75"/>
      <c r="D125" s="75"/>
      <c r="E125" s="75"/>
      <c r="F125" s="75"/>
      <c r="G125" s="75"/>
      <c r="H125" s="75"/>
      <c r="I125" s="75"/>
      <c r="J125" s="75"/>
      <c r="K125" s="75"/>
      <c r="L125" s="75"/>
      <c r="M125" s="75"/>
      <c r="N125" s="75"/>
      <c r="O125" s="75"/>
      <c r="P125" s="75"/>
      <c r="Q125" s="75"/>
      <c r="R125" s="75"/>
      <c r="S125" s="75"/>
      <c r="T125" s="51"/>
    </row>
    <row r="126" spans="1:20" s="9" customFormat="1" ht="11.25" x14ac:dyDescent="0.2">
      <c r="A126" s="75" t="s">
        <v>408</v>
      </c>
      <c r="B126" s="75"/>
      <c r="C126" s="75"/>
      <c r="D126" s="75"/>
      <c r="E126" s="75"/>
      <c r="F126" s="75"/>
      <c r="G126" s="75"/>
      <c r="H126" s="75"/>
      <c r="I126" s="75"/>
      <c r="J126" s="75"/>
      <c r="K126" s="75"/>
      <c r="L126" s="75"/>
      <c r="M126" s="75"/>
      <c r="N126" s="75"/>
      <c r="O126" s="75"/>
      <c r="P126" s="75"/>
      <c r="Q126" s="75"/>
      <c r="R126" s="75"/>
      <c r="S126" s="75"/>
      <c r="T126" s="51"/>
    </row>
    <row r="127" spans="1:20" s="9" customFormat="1" ht="44.25" customHeight="1" x14ac:dyDescent="0.2">
      <c r="A127" s="67" t="s">
        <v>320</v>
      </c>
      <c r="B127" s="64" t="s">
        <v>295</v>
      </c>
      <c r="C127" s="65">
        <v>4.53E-2</v>
      </c>
      <c r="D127" s="66" t="s">
        <v>298</v>
      </c>
      <c r="E127" s="65">
        <v>1.2999999999999999E-2</v>
      </c>
      <c r="F127" s="66" t="s">
        <v>0</v>
      </c>
      <c r="G127" s="87">
        <f>VLOOKUP(A3,'Old Data'!A1:CM88,72,FALSE)</f>
        <v>7.1400000000000005E-2</v>
      </c>
      <c r="H127" s="66" t="s">
        <v>1</v>
      </c>
      <c r="I127" s="11" t="str">
        <f>IF(OR(G127="NA",G127="**"),"NA",IF(G127&gt;C127,"Not Met","Met"))</f>
        <v>Not Met</v>
      </c>
      <c r="J127" s="25"/>
      <c r="L127" s="25"/>
      <c r="M127" s="25"/>
      <c r="N127" s="25"/>
    </row>
    <row r="128" spans="1:20" s="9" customFormat="1" ht="11.25" x14ac:dyDescent="0.2">
      <c r="A128" s="76" t="s">
        <v>409</v>
      </c>
      <c r="B128" s="75"/>
      <c r="C128" s="75"/>
      <c r="D128" s="75"/>
      <c r="E128" s="75"/>
      <c r="F128" s="75"/>
      <c r="G128" s="75"/>
      <c r="H128" s="75"/>
      <c r="I128" s="75"/>
      <c r="J128" s="75"/>
      <c r="K128" s="75"/>
      <c r="L128" s="75"/>
      <c r="M128" s="75"/>
      <c r="N128" s="75"/>
      <c r="O128" s="75"/>
      <c r="P128" s="75"/>
      <c r="Q128" s="75"/>
      <c r="R128" s="75"/>
      <c r="S128" s="75"/>
      <c r="T128" s="51"/>
    </row>
    <row r="129" spans="1:20" s="9" customFormat="1" ht="11.25" x14ac:dyDescent="0.2">
      <c r="A129" s="75" t="s">
        <v>410</v>
      </c>
      <c r="B129" s="75"/>
      <c r="C129" s="75"/>
      <c r="D129" s="75"/>
      <c r="E129" s="75"/>
      <c r="F129" s="75"/>
      <c r="G129" s="75"/>
      <c r="H129" s="75"/>
      <c r="I129" s="75"/>
      <c r="J129" s="75"/>
      <c r="K129" s="75"/>
      <c r="L129" s="75"/>
      <c r="M129" s="75"/>
      <c r="N129" s="75"/>
      <c r="O129" s="75"/>
      <c r="P129" s="75"/>
      <c r="Q129" s="75"/>
      <c r="R129" s="75"/>
      <c r="S129" s="75"/>
      <c r="T129" s="51"/>
    </row>
    <row r="130" spans="1:20" s="9" customFormat="1" ht="44.25" customHeight="1" x14ac:dyDescent="0.2">
      <c r="A130" s="67" t="s">
        <v>320</v>
      </c>
      <c r="B130" s="64" t="s">
        <v>295</v>
      </c>
      <c r="C130" s="65">
        <v>2.9499999999999998E-2</v>
      </c>
      <c r="D130" s="66" t="s">
        <v>298</v>
      </c>
      <c r="E130" s="65">
        <v>9.1999999999999998E-3</v>
      </c>
      <c r="F130" s="66" t="s">
        <v>0</v>
      </c>
      <c r="G130" s="87">
        <f>VLOOKUP(A3,'Old Data'!A1:CM88,73,FALSE)</f>
        <v>0</v>
      </c>
      <c r="H130" s="66" t="s">
        <v>1</v>
      </c>
      <c r="I130" s="11" t="str">
        <f>IF(OR(G130="NA",G130="**"),"NA",IF(G130&gt;C130,"Not Met","Met"))</f>
        <v>Met</v>
      </c>
      <c r="J130" s="25"/>
      <c r="L130" s="25"/>
      <c r="M130" s="25"/>
      <c r="N130" s="25"/>
    </row>
    <row r="131" spans="1:20" s="9" customFormat="1" ht="11.25" x14ac:dyDescent="0.2">
      <c r="A131" s="76" t="s">
        <v>411</v>
      </c>
      <c r="B131" s="75"/>
      <c r="C131" s="75"/>
      <c r="D131" s="75"/>
      <c r="E131" s="75"/>
      <c r="F131" s="75"/>
      <c r="G131" s="75"/>
      <c r="H131" s="75"/>
      <c r="I131" s="75"/>
      <c r="J131" s="75"/>
      <c r="K131" s="75"/>
      <c r="L131" s="75"/>
      <c r="M131" s="75"/>
      <c r="N131" s="75"/>
      <c r="O131" s="75"/>
      <c r="P131" s="75"/>
      <c r="Q131" s="75"/>
      <c r="R131" s="75"/>
      <c r="S131" s="75"/>
      <c r="T131" s="51"/>
    </row>
    <row r="132" spans="1:20" s="9" customFormat="1" ht="11.25" x14ac:dyDescent="0.2">
      <c r="A132" s="75" t="s">
        <v>412</v>
      </c>
      <c r="B132" s="75"/>
      <c r="C132" s="75"/>
      <c r="D132" s="75"/>
      <c r="E132" s="75"/>
      <c r="F132" s="75"/>
      <c r="G132" s="75"/>
      <c r="H132" s="75"/>
      <c r="I132" s="75"/>
      <c r="J132" s="75"/>
      <c r="K132" s="75"/>
      <c r="L132" s="75"/>
      <c r="M132" s="75"/>
      <c r="N132" s="75"/>
      <c r="O132" s="75"/>
      <c r="P132" s="75"/>
      <c r="Q132" s="75"/>
      <c r="R132" s="75"/>
      <c r="S132" s="75"/>
      <c r="T132" s="51"/>
    </row>
    <row r="133" spans="1:20" s="9" customFormat="1" ht="44.25" customHeight="1" x14ac:dyDescent="0.2">
      <c r="A133" s="67" t="s">
        <v>320</v>
      </c>
      <c r="B133" s="64" t="s">
        <v>295</v>
      </c>
      <c r="C133" s="65">
        <v>3.0099999999999998E-2</v>
      </c>
      <c r="D133" s="66" t="s">
        <v>298</v>
      </c>
      <c r="E133" s="65">
        <v>7.6E-3</v>
      </c>
      <c r="F133" s="66" t="s">
        <v>0</v>
      </c>
      <c r="G133" s="87" t="str">
        <f>VLOOKUP(A3,'Old Data'!A1:CM88,74,FALSE)</f>
        <v>NA</v>
      </c>
      <c r="H133" s="66" t="s">
        <v>1</v>
      </c>
      <c r="I133" s="11" t="str">
        <f>IF(OR(G133="NA",G133="**"),"NA",IF(G133&gt;C133,"Not Met","Met"))</f>
        <v>NA</v>
      </c>
      <c r="J133" s="25"/>
      <c r="L133" s="25"/>
      <c r="M133" s="25"/>
      <c r="N133" s="25"/>
    </row>
    <row r="134" spans="1:20" s="9" customFormat="1" ht="14.25" x14ac:dyDescent="0.2">
      <c r="A134" s="24" t="s">
        <v>337</v>
      </c>
      <c r="B134" s="24"/>
      <c r="C134" s="24"/>
      <c r="D134" s="24"/>
      <c r="E134" s="24"/>
      <c r="F134" s="24"/>
      <c r="G134" s="24"/>
      <c r="H134" s="24"/>
      <c r="I134" s="24"/>
      <c r="J134" s="24"/>
      <c r="K134" s="24"/>
      <c r="L134" s="24"/>
      <c r="M134" s="24"/>
      <c r="N134" s="24"/>
      <c r="O134" s="24"/>
      <c r="P134" s="24"/>
      <c r="Q134" s="24"/>
      <c r="R134" s="24"/>
      <c r="S134" s="24"/>
      <c r="T134" s="52"/>
    </row>
    <row r="135" spans="1:20" s="9" customFormat="1" ht="11.25" x14ac:dyDescent="0.2">
      <c r="A135" s="76" t="s">
        <v>413</v>
      </c>
      <c r="B135" s="75"/>
      <c r="C135" s="75"/>
      <c r="D135" s="75"/>
      <c r="E135" s="75"/>
      <c r="F135" s="75"/>
      <c r="G135" s="75"/>
      <c r="H135" s="75"/>
      <c r="I135" s="75"/>
      <c r="J135" s="75"/>
      <c r="K135" s="75"/>
      <c r="L135" s="75"/>
      <c r="M135" s="75"/>
      <c r="N135" s="75"/>
      <c r="O135" s="75"/>
      <c r="P135" s="75"/>
      <c r="Q135" s="75"/>
      <c r="R135" s="75"/>
      <c r="S135" s="75"/>
      <c r="T135" s="51"/>
    </row>
    <row r="136" spans="1:20" s="9" customFormat="1" ht="11.25" x14ac:dyDescent="0.2">
      <c r="A136" s="75" t="s">
        <v>414</v>
      </c>
      <c r="B136" s="75"/>
      <c r="C136" s="75"/>
      <c r="D136" s="75"/>
      <c r="E136" s="75"/>
      <c r="F136" s="75"/>
      <c r="G136" s="75"/>
      <c r="H136" s="75"/>
      <c r="I136" s="75"/>
      <c r="J136" s="75"/>
      <c r="K136" s="75"/>
      <c r="L136" s="75"/>
      <c r="M136" s="75"/>
      <c r="N136" s="75"/>
      <c r="O136" s="75"/>
      <c r="P136" s="75"/>
      <c r="Q136" s="75"/>
      <c r="R136" s="75"/>
      <c r="S136" s="75"/>
      <c r="T136" s="51"/>
    </row>
    <row r="137" spans="1:20" s="9" customFormat="1" ht="11.25" x14ac:dyDescent="0.2">
      <c r="A137" s="75" t="s">
        <v>415</v>
      </c>
      <c r="B137" s="75"/>
      <c r="C137" s="75"/>
      <c r="D137" s="75"/>
      <c r="E137" s="75"/>
      <c r="F137" s="75"/>
      <c r="G137" s="75"/>
      <c r="H137" s="75"/>
      <c r="I137" s="75"/>
      <c r="J137" s="75"/>
      <c r="K137" s="75"/>
      <c r="L137" s="75"/>
      <c r="M137" s="75"/>
      <c r="N137" s="75"/>
      <c r="O137" s="75"/>
      <c r="P137" s="75"/>
      <c r="Q137" s="75"/>
      <c r="R137" s="75"/>
      <c r="S137" s="75"/>
      <c r="T137" s="51"/>
    </row>
    <row r="138" spans="1:20" s="9" customFormat="1" ht="44.25" customHeight="1" x14ac:dyDescent="0.2">
      <c r="A138" s="67" t="s">
        <v>320</v>
      </c>
      <c r="B138" s="64" t="s">
        <v>294</v>
      </c>
      <c r="C138" s="65">
        <v>0.86450000000000005</v>
      </c>
      <c r="D138" s="66" t="s">
        <v>298</v>
      </c>
      <c r="E138" s="65">
        <v>0.85940000000000005</v>
      </c>
      <c r="F138" s="66" t="s">
        <v>0</v>
      </c>
      <c r="G138" s="87">
        <f>VLOOKUP(A3,'Old Data'!A1:CM88,75,FALSE)</f>
        <v>0.94440000000000002</v>
      </c>
      <c r="H138" s="66" t="s">
        <v>1</v>
      </c>
      <c r="I138" s="11" t="str">
        <f t="shared" si="3"/>
        <v>Met</v>
      </c>
      <c r="J138" s="25"/>
      <c r="L138" s="25"/>
      <c r="M138" s="25"/>
      <c r="N138" s="25"/>
    </row>
    <row r="139" spans="1:20" s="9" customFormat="1" ht="11.25" x14ac:dyDescent="0.2">
      <c r="A139" s="76" t="s">
        <v>416</v>
      </c>
      <c r="B139" s="75"/>
      <c r="C139" s="75"/>
      <c r="D139" s="75"/>
      <c r="E139" s="75"/>
      <c r="F139" s="75"/>
      <c r="G139" s="75"/>
      <c r="H139" s="75"/>
      <c r="I139" s="75"/>
      <c r="J139" s="75"/>
      <c r="K139" s="75"/>
      <c r="L139" s="75"/>
      <c r="M139" s="75"/>
      <c r="N139" s="75"/>
      <c r="O139" s="75"/>
      <c r="P139" s="75"/>
      <c r="Q139" s="75"/>
      <c r="R139" s="75"/>
      <c r="S139" s="75"/>
      <c r="T139" s="51"/>
    </row>
    <row r="140" spans="1:20" s="9" customFormat="1" ht="11.25" x14ac:dyDescent="0.2">
      <c r="A140" s="75" t="s">
        <v>417</v>
      </c>
      <c r="B140" s="75"/>
      <c r="C140" s="75"/>
      <c r="D140" s="75"/>
      <c r="E140" s="75"/>
      <c r="F140" s="75"/>
      <c r="G140" s="75"/>
      <c r="H140" s="75"/>
      <c r="I140" s="75"/>
      <c r="J140" s="75"/>
      <c r="K140" s="75"/>
      <c r="L140" s="75"/>
      <c r="M140" s="75"/>
      <c r="N140" s="75"/>
      <c r="O140" s="75"/>
      <c r="P140" s="75"/>
      <c r="Q140" s="75"/>
      <c r="R140" s="75"/>
      <c r="S140" s="75"/>
      <c r="T140" s="51"/>
    </row>
    <row r="141" spans="1:20" s="9" customFormat="1" ht="11.25" x14ac:dyDescent="0.2">
      <c r="A141" s="75" t="s">
        <v>418</v>
      </c>
      <c r="B141" s="75"/>
      <c r="C141" s="75"/>
      <c r="D141" s="75"/>
      <c r="E141" s="75"/>
      <c r="F141" s="75"/>
      <c r="G141" s="75"/>
      <c r="H141" s="75"/>
      <c r="I141" s="75"/>
      <c r="J141" s="75"/>
      <c r="K141" s="75"/>
      <c r="L141" s="75"/>
      <c r="M141" s="75"/>
      <c r="N141" s="75"/>
      <c r="O141" s="75"/>
      <c r="P141" s="75"/>
      <c r="Q141" s="75"/>
      <c r="R141" s="75"/>
      <c r="S141" s="75"/>
      <c r="T141" s="51"/>
    </row>
    <row r="142" spans="1:20" s="9" customFormat="1" ht="44.25" customHeight="1" x14ac:dyDescent="0.2">
      <c r="A142" s="67" t="s">
        <v>320</v>
      </c>
      <c r="B142" s="64" t="s">
        <v>294</v>
      </c>
      <c r="C142" s="65">
        <v>0.5948</v>
      </c>
      <c r="D142" s="66" t="s">
        <v>298</v>
      </c>
      <c r="E142" s="65">
        <v>0.51590000000000003</v>
      </c>
      <c r="F142" s="66" t="s">
        <v>0</v>
      </c>
      <c r="G142" s="87">
        <f>VLOOKUP(A3,'Old Data'!A1:CM88,76,FALSE)</f>
        <v>0.68420000000000003</v>
      </c>
      <c r="H142" s="66" t="s">
        <v>1</v>
      </c>
      <c r="I142" s="11" t="str">
        <f t="shared" si="3"/>
        <v>Met</v>
      </c>
      <c r="J142" s="25"/>
      <c r="L142" s="25"/>
      <c r="M142" s="25"/>
      <c r="N142" s="25"/>
    </row>
    <row r="143" spans="1:20" s="9" customFormat="1" ht="11.25" x14ac:dyDescent="0.2">
      <c r="A143" s="76" t="s">
        <v>419</v>
      </c>
      <c r="B143" s="75"/>
      <c r="C143" s="75"/>
      <c r="D143" s="75"/>
      <c r="E143" s="75"/>
      <c r="F143" s="75"/>
      <c r="G143" s="75"/>
      <c r="H143" s="75"/>
      <c r="I143" s="75"/>
      <c r="J143" s="75"/>
      <c r="K143" s="75"/>
      <c r="L143" s="75"/>
      <c r="M143" s="75"/>
      <c r="N143" s="75"/>
      <c r="O143" s="75"/>
      <c r="P143" s="75"/>
      <c r="Q143" s="75"/>
      <c r="R143" s="75"/>
      <c r="S143" s="75"/>
      <c r="T143" s="51"/>
    </row>
    <row r="144" spans="1:20" s="9" customFormat="1" ht="11.25" x14ac:dyDescent="0.2">
      <c r="A144" s="75" t="s">
        <v>420</v>
      </c>
      <c r="B144" s="75"/>
      <c r="C144" s="75"/>
      <c r="D144" s="75"/>
      <c r="E144" s="75"/>
      <c r="F144" s="75"/>
      <c r="G144" s="75"/>
      <c r="H144" s="75"/>
      <c r="I144" s="75"/>
      <c r="J144" s="75"/>
      <c r="K144" s="75"/>
      <c r="L144" s="75"/>
      <c r="M144" s="75"/>
      <c r="N144" s="75"/>
      <c r="O144" s="75"/>
      <c r="P144" s="75"/>
      <c r="Q144" s="75"/>
      <c r="R144" s="75"/>
      <c r="S144" s="75"/>
      <c r="T144" s="51"/>
    </row>
    <row r="145" spans="1:20" s="9" customFormat="1" ht="11.25" x14ac:dyDescent="0.2">
      <c r="A145" s="75" t="s">
        <v>415</v>
      </c>
      <c r="B145" s="75"/>
      <c r="C145" s="75"/>
      <c r="D145" s="75"/>
      <c r="E145" s="75"/>
      <c r="F145" s="75"/>
      <c r="G145" s="75"/>
      <c r="H145" s="75"/>
      <c r="I145" s="75"/>
      <c r="J145" s="75"/>
      <c r="K145" s="75"/>
      <c r="L145" s="75"/>
      <c r="M145" s="75"/>
      <c r="N145" s="75"/>
      <c r="O145" s="75"/>
      <c r="P145" s="75"/>
      <c r="Q145" s="75"/>
      <c r="R145" s="75"/>
      <c r="S145" s="75"/>
      <c r="T145" s="51"/>
    </row>
    <row r="146" spans="1:20" s="9" customFormat="1" ht="44.25" customHeight="1" x14ac:dyDescent="0.2">
      <c r="A146" s="67" t="s">
        <v>320</v>
      </c>
      <c r="B146" s="64" t="s">
        <v>294</v>
      </c>
      <c r="C146" s="65">
        <v>0.85350000000000004</v>
      </c>
      <c r="D146" s="66" t="s">
        <v>298</v>
      </c>
      <c r="E146" s="65">
        <v>0.84350000000000003</v>
      </c>
      <c r="F146" s="66" t="s">
        <v>0</v>
      </c>
      <c r="G146" s="87">
        <f>VLOOKUP(A3,'Old Data'!A1:CM88,77,FALSE)</f>
        <v>0.86670000000000003</v>
      </c>
      <c r="H146" s="66" t="s">
        <v>1</v>
      </c>
      <c r="I146" s="11" t="str">
        <f t="shared" si="3"/>
        <v>Met</v>
      </c>
      <c r="J146" s="25"/>
      <c r="L146" s="25"/>
      <c r="M146" s="25"/>
      <c r="N146" s="25"/>
    </row>
    <row r="147" spans="1:20" s="9" customFormat="1" ht="11.25" x14ac:dyDescent="0.2">
      <c r="A147" s="76" t="s">
        <v>421</v>
      </c>
      <c r="B147" s="75"/>
      <c r="C147" s="75"/>
      <c r="D147" s="75"/>
      <c r="E147" s="75"/>
      <c r="F147" s="75"/>
      <c r="G147" s="75"/>
      <c r="H147" s="75"/>
      <c r="I147" s="75"/>
      <c r="J147" s="75"/>
      <c r="K147" s="75"/>
      <c r="L147" s="75"/>
      <c r="M147" s="75"/>
      <c r="N147" s="75"/>
      <c r="O147" s="75"/>
      <c r="P147" s="75"/>
      <c r="Q147" s="75"/>
      <c r="R147" s="75"/>
      <c r="S147" s="75"/>
      <c r="T147" s="51"/>
    </row>
    <row r="148" spans="1:20" s="9" customFormat="1" ht="11.25" x14ac:dyDescent="0.2">
      <c r="A148" s="75" t="s">
        <v>422</v>
      </c>
      <c r="B148" s="75"/>
      <c r="C148" s="75"/>
      <c r="D148" s="75"/>
      <c r="E148" s="75"/>
      <c r="F148" s="75"/>
      <c r="G148" s="75"/>
      <c r="H148" s="75"/>
      <c r="I148" s="75"/>
      <c r="J148" s="75"/>
      <c r="K148" s="75"/>
      <c r="L148" s="75"/>
      <c r="M148" s="75"/>
      <c r="N148" s="75"/>
      <c r="O148" s="75"/>
      <c r="P148" s="75"/>
      <c r="Q148" s="75"/>
      <c r="R148" s="75"/>
      <c r="S148" s="75"/>
      <c r="T148" s="51"/>
    </row>
    <row r="149" spans="1:20" s="9" customFormat="1" ht="11.25" x14ac:dyDescent="0.2">
      <c r="A149" s="75" t="s">
        <v>423</v>
      </c>
      <c r="B149" s="75"/>
      <c r="C149" s="75"/>
      <c r="D149" s="75"/>
      <c r="E149" s="75"/>
      <c r="F149" s="75"/>
      <c r="G149" s="75"/>
      <c r="H149" s="75"/>
      <c r="I149" s="75"/>
      <c r="J149" s="75"/>
      <c r="K149" s="75"/>
      <c r="L149" s="75"/>
      <c r="M149" s="75"/>
      <c r="N149" s="75"/>
      <c r="O149" s="75"/>
      <c r="P149" s="75"/>
      <c r="Q149" s="75"/>
      <c r="R149" s="75"/>
      <c r="S149" s="75"/>
      <c r="T149" s="51"/>
    </row>
    <row r="150" spans="1:20" s="9" customFormat="1" ht="44.25" customHeight="1" x14ac:dyDescent="0.2">
      <c r="A150" s="67" t="s">
        <v>320</v>
      </c>
      <c r="B150" s="64" t="s">
        <v>294</v>
      </c>
      <c r="C150" s="65">
        <v>0.57399999999999995</v>
      </c>
      <c r="D150" s="66" t="s">
        <v>298</v>
      </c>
      <c r="E150" s="65">
        <v>0.52629999999999999</v>
      </c>
      <c r="F150" s="66" t="s">
        <v>0</v>
      </c>
      <c r="G150" s="87">
        <f>VLOOKUP(A3,'Old Data'!A1:CM88,78,FALSE)</f>
        <v>0.47370000000000001</v>
      </c>
      <c r="H150" s="66" t="s">
        <v>1</v>
      </c>
      <c r="I150" s="11" t="str">
        <f t="shared" si="3"/>
        <v>Not Met</v>
      </c>
      <c r="J150" s="25"/>
      <c r="L150" s="25"/>
      <c r="M150" s="25"/>
      <c r="N150" s="25"/>
    </row>
    <row r="151" spans="1:20" s="9" customFormat="1" ht="11.25" x14ac:dyDescent="0.2">
      <c r="A151" s="76" t="s">
        <v>424</v>
      </c>
      <c r="B151" s="75"/>
      <c r="C151" s="75"/>
      <c r="D151" s="75"/>
      <c r="E151" s="75"/>
      <c r="F151" s="75"/>
      <c r="G151" s="75"/>
      <c r="H151" s="75"/>
      <c r="I151" s="75"/>
      <c r="J151" s="75"/>
      <c r="K151" s="75"/>
      <c r="L151" s="75"/>
      <c r="M151" s="75"/>
      <c r="N151" s="75"/>
      <c r="O151" s="75"/>
      <c r="P151" s="75"/>
      <c r="Q151" s="75"/>
      <c r="R151" s="75"/>
      <c r="S151" s="75"/>
      <c r="T151" s="51"/>
    </row>
    <row r="152" spans="1:20" s="9" customFormat="1" ht="11.25" x14ac:dyDescent="0.2">
      <c r="A152" s="75" t="s">
        <v>425</v>
      </c>
      <c r="B152" s="75"/>
      <c r="C152" s="75"/>
      <c r="D152" s="75"/>
      <c r="E152" s="75"/>
      <c r="F152" s="75"/>
      <c r="G152" s="75"/>
      <c r="H152" s="75"/>
      <c r="I152" s="75"/>
      <c r="J152" s="75"/>
      <c r="K152" s="75"/>
      <c r="L152" s="75"/>
      <c r="M152" s="75"/>
      <c r="N152" s="75"/>
      <c r="O152" s="75"/>
      <c r="P152" s="75"/>
      <c r="Q152" s="75"/>
      <c r="R152" s="75"/>
      <c r="S152" s="75"/>
      <c r="T152" s="51"/>
    </row>
    <row r="153" spans="1:20" s="9" customFormat="1" ht="11.25" x14ac:dyDescent="0.2">
      <c r="A153" s="75" t="s">
        <v>415</v>
      </c>
      <c r="B153" s="75"/>
      <c r="C153" s="75"/>
      <c r="D153" s="75"/>
      <c r="E153" s="75"/>
      <c r="F153" s="75"/>
      <c r="G153" s="75"/>
      <c r="H153" s="75"/>
      <c r="I153" s="75"/>
      <c r="J153" s="75"/>
      <c r="K153" s="75"/>
      <c r="L153" s="75"/>
      <c r="M153" s="75"/>
      <c r="N153" s="75"/>
      <c r="O153" s="75"/>
      <c r="P153" s="75"/>
      <c r="Q153" s="75"/>
      <c r="R153" s="75"/>
      <c r="S153" s="75"/>
      <c r="T153" s="51"/>
    </row>
    <row r="154" spans="1:20" s="9" customFormat="1" ht="44.25" customHeight="1" x14ac:dyDescent="0.2">
      <c r="A154" s="67" t="s">
        <v>320</v>
      </c>
      <c r="B154" s="64" t="s">
        <v>294</v>
      </c>
      <c r="C154" s="65">
        <v>0.88439999999999996</v>
      </c>
      <c r="D154" s="66" t="s">
        <v>298</v>
      </c>
      <c r="E154" s="65">
        <v>0.86119999999999997</v>
      </c>
      <c r="F154" s="66" t="s">
        <v>0</v>
      </c>
      <c r="G154" s="87">
        <f>VLOOKUP(A3,'Old Data'!A1:CM88,79,FALSE)</f>
        <v>0.9375</v>
      </c>
      <c r="H154" s="66" t="s">
        <v>1</v>
      </c>
      <c r="I154" s="11" t="str">
        <f t="shared" si="3"/>
        <v>Met</v>
      </c>
      <c r="J154" s="25"/>
      <c r="L154" s="25"/>
      <c r="M154" s="25"/>
      <c r="N154" s="25"/>
    </row>
    <row r="155" spans="1:20" s="9" customFormat="1" ht="11.25" x14ac:dyDescent="0.2">
      <c r="A155" s="76" t="s">
        <v>426</v>
      </c>
      <c r="B155" s="75"/>
      <c r="C155" s="75"/>
      <c r="D155" s="75"/>
      <c r="E155" s="75"/>
      <c r="F155" s="75"/>
      <c r="G155" s="75"/>
      <c r="H155" s="75"/>
      <c r="I155" s="75"/>
      <c r="J155" s="75"/>
      <c r="K155" s="75"/>
      <c r="L155" s="75"/>
      <c r="M155" s="75"/>
      <c r="N155" s="75"/>
      <c r="O155" s="75"/>
      <c r="P155" s="75"/>
      <c r="Q155" s="75"/>
      <c r="R155" s="75"/>
      <c r="S155" s="75"/>
      <c r="T155" s="51"/>
    </row>
    <row r="156" spans="1:20" s="9" customFormat="1" ht="11.25" x14ac:dyDescent="0.2">
      <c r="A156" s="75" t="s">
        <v>427</v>
      </c>
      <c r="B156" s="75"/>
      <c r="C156" s="75"/>
      <c r="D156" s="75"/>
      <c r="E156" s="75"/>
      <c r="F156" s="75"/>
      <c r="G156" s="75"/>
      <c r="H156" s="75"/>
      <c r="I156" s="75"/>
      <c r="J156" s="75"/>
      <c r="K156" s="75"/>
      <c r="L156" s="75"/>
      <c r="M156" s="75"/>
      <c r="N156" s="75"/>
      <c r="O156" s="75"/>
      <c r="P156" s="75"/>
      <c r="Q156" s="75"/>
      <c r="R156" s="75"/>
      <c r="S156" s="75"/>
      <c r="T156" s="51"/>
    </row>
    <row r="157" spans="1:20" s="9" customFormat="1" ht="11.25" x14ac:dyDescent="0.2">
      <c r="A157" s="75" t="s">
        <v>423</v>
      </c>
      <c r="B157" s="75"/>
      <c r="C157" s="75"/>
      <c r="D157" s="75"/>
      <c r="E157" s="75"/>
      <c r="F157" s="75"/>
      <c r="G157" s="75"/>
      <c r="H157" s="75"/>
      <c r="I157" s="75"/>
      <c r="J157" s="75"/>
      <c r="K157" s="75"/>
      <c r="L157" s="75"/>
      <c r="M157" s="75"/>
      <c r="N157" s="75"/>
      <c r="O157" s="75"/>
      <c r="P157" s="75"/>
      <c r="Q157" s="75"/>
      <c r="R157" s="75"/>
      <c r="S157" s="75"/>
      <c r="T157" s="51"/>
    </row>
    <row r="158" spans="1:20" s="9" customFormat="1" ht="44.25" customHeight="1" x14ac:dyDescent="0.2">
      <c r="A158" s="67" t="s">
        <v>320</v>
      </c>
      <c r="B158" s="64" t="s">
        <v>294</v>
      </c>
      <c r="C158" s="65">
        <v>0.74080000000000001</v>
      </c>
      <c r="D158" s="66" t="s">
        <v>298</v>
      </c>
      <c r="E158" s="65">
        <v>0.64880000000000004</v>
      </c>
      <c r="F158" s="66" t="s">
        <v>0</v>
      </c>
      <c r="G158" s="87">
        <f>VLOOKUP(A3,'Old Data'!A1:CM88,80,FALSE)</f>
        <v>0.73680000000000001</v>
      </c>
      <c r="H158" s="66" t="s">
        <v>1</v>
      </c>
      <c r="I158" s="11" t="str">
        <f t="shared" si="3"/>
        <v>Not Met</v>
      </c>
      <c r="J158" s="25"/>
      <c r="L158" s="25"/>
      <c r="M158" s="25"/>
      <c r="N158" s="25"/>
    </row>
    <row r="159" spans="1:20" s="9" customFormat="1" ht="14.25" x14ac:dyDescent="0.2">
      <c r="A159" s="24" t="s">
        <v>145</v>
      </c>
      <c r="B159" s="24"/>
      <c r="C159" s="24"/>
      <c r="D159" s="24"/>
      <c r="E159" s="24"/>
      <c r="F159" s="24"/>
      <c r="G159" s="24"/>
      <c r="H159" s="24"/>
      <c r="I159" s="24"/>
      <c r="J159" s="24"/>
      <c r="K159" s="24"/>
      <c r="L159" s="24"/>
      <c r="M159" s="24"/>
      <c r="N159" s="24"/>
      <c r="O159" s="24"/>
      <c r="P159" s="24"/>
      <c r="Q159" s="24"/>
      <c r="R159" s="24"/>
      <c r="S159" s="24"/>
      <c r="T159" s="52"/>
    </row>
    <row r="160" spans="1:20" s="9" customFormat="1" ht="11.25" x14ac:dyDescent="0.2">
      <c r="A160" s="75" t="s">
        <v>428</v>
      </c>
      <c r="B160" s="75"/>
      <c r="C160" s="75"/>
      <c r="D160" s="75"/>
      <c r="E160" s="75"/>
      <c r="F160" s="75"/>
      <c r="G160" s="75"/>
      <c r="H160" s="75"/>
      <c r="I160" s="75"/>
      <c r="J160" s="75"/>
      <c r="K160" s="75"/>
      <c r="L160" s="75"/>
      <c r="M160" s="75"/>
      <c r="N160" s="75"/>
      <c r="O160" s="75"/>
      <c r="P160" s="75"/>
      <c r="Q160" s="75"/>
      <c r="R160" s="75"/>
      <c r="S160" s="75"/>
      <c r="T160" s="51"/>
    </row>
    <row r="161" spans="1:20" s="9" customFormat="1" ht="11.25" x14ac:dyDescent="0.2">
      <c r="A161" s="75" t="s">
        <v>429</v>
      </c>
      <c r="B161" s="75"/>
      <c r="C161" s="75"/>
      <c r="D161" s="75"/>
      <c r="E161" s="75"/>
      <c r="F161" s="75"/>
      <c r="G161" s="75"/>
      <c r="H161" s="75"/>
      <c r="I161" s="75"/>
      <c r="J161" s="75"/>
      <c r="K161" s="75"/>
      <c r="L161" s="75"/>
      <c r="M161" s="75"/>
      <c r="N161" s="75"/>
      <c r="O161" s="75"/>
      <c r="P161" s="75"/>
      <c r="Q161" s="75"/>
      <c r="R161" s="75"/>
      <c r="S161" s="75"/>
      <c r="T161" s="51"/>
    </row>
    <row r="162" spans="1:20" s="9" customFormat="1" ht="44.25" customHeight="1" x14ac:dyDescent="0.2">
      <c r="A162" s="67" t="s">
        <v>320</v>
      </c>
      <c r="B162" s="64" t="s">
        <v>294</v>
      </c>
      <c r="C162" s="65">
        <v>0.86</v>
      </c>
      <c r="D162" s="66" t="s">
        <v>298</v>
      </c>
      <c r="E162" s="65">
        <v>0.98399999999999999</v>
      </c>
      <c r="F162" s="66" t="s">
        <v>0</v>
      </c>
      <c r="G162" s="87">
        <f>VLOOKUP(A3,'Old Data'!A1:CM88,81,FALSE)</f>
        <v>1</v>
      </c>
      <c r="H162" s="66" t="s">
        <v>1</v>
      </c>
      <c r="I162" s="11" t="str">
        <f t="shared" ref="I162" si="4">IF(OR(G162="NA",G162="**"),"NA",IF(G162&lt;C162,"Not Met","Met"))</f>
        <v>Met</v>
      </c>
      <c r="J162" s="25"/>
      <c r="L162" s="25"/>
      <c r="M162" s="25"/>
      <c r="N162" s="25"/>
    </row>
    <row r="163" spans="1:20" s="9" customFormat="1" ht="14.25" x14ac:dyDescent="0.2">
      <c r="A163" s="24" t="s">
        <v>309</v>
      </c>
      <c r="B163" s="24"/>
      <c r="C163" s="24"/>
      <c r="D163" s="24"/>
      <c r="E163" s="24"/>
      <c r="F163" s="24"/>
      <c r="G163" s="24"/>
      <c r="H163" s="24"/>
      <c r="I163" s="24"/>
      <c r="J163" s="24"/>
      <c r="K163" s="24"/>
      <c r="L163" s="24"/>
      <c r="M163" s="24"/>
      <c r="N163" s="24"/>
      <c r="O163" s="24"/>
      <c r="P163" s="24"/>
      <c r="Q163" s="24"/>
      <c r="R163" s="24"/>
      <c r="S163" s="24"/>
      <c r="T163" s="52"/>
    </row>
    <row r="164" spans="1:20" s="9" customFormat="1" ht="11.25" x14ac:dyDescent="0.2">
      <c r="A164" s="76" t="s">
        <v>430</v>
      </c>
      <c r="B164" s="75"/>
      <c r="C164" s="75"/>
      <c r="D164" s="75"/>
      <c r="E164" s="75"/>
      <c r="F164" s="75"/>
      <c r="G164" s="75"/>
      <c r="H164" s="75"/>
      <c r="I164" s="75"/>
      <c r="J164" s="75"/>
      <c r="K164" s="75"/>
      <c r="L164" s="75"/>
      <c r="M164" s="75"/>
      <c r="N164" s="75"/>
      <c r="O164" s="75"/>
      <c r="P164" s="75"/>
      <c r="Q164" s="75"/>
      <c r="R164" s="75"/>
      <c r="S164" s="75"/>
      <c r="T164" s="51"/>
    </row>
    <row r="165" spans="1:20" s="9" customFormat="1" ht="11.25" x14ac:dyDescent="0.2">
      <c r="A165" s="75" t="s">
        <v>431</v>
      </c>
      <c r="B165" s="75"/>
      <c r="C165" s="75"/>
      <c r="D165" s="75"/>
      <c r="E165" s="75"/>
      <c r="F165" s="75"/>
      <c r="G165" s="75"/>
      <c r="H165" s="75"/>
      <c r="I165" s="75"/>
      <c r="J165" s="75"/>
      <c r="K165" s="75"/>
      <c r="L165" s="75"/>
      <c r="M165" s="75"/>
      <c r="N165" s="75"/>
      <c r="O165" s="75"/>
      <c r="P165" s="75"/>
      <c r="Q165" s="75"/>
      <c r="R165" s="75"/>
      <c r="S165" s="75"/>
      <c r="T165" s="51"/>
    </row>
    <row r="166" spans="1:20" s="9" customFormat="1" ht="44.25" customHeight="1" x14ac:dyDescent="0.2">
      <c r="A166" s="67" t="s">
        <v>320</v>
      </c>
      <c r="B166" s="64" t="s">
        <v>296</v>
      </c>
      <c r="C166" s="65" t="s">
        <v>2</v>
      </c>
      <c r="D166" s="66" t="s">
        <v>298</v>
      </c>
      <c r="E166" s="65" t="s">
        <v>23</v>
      </c>
      <c r="F166" s="66" t="s">
        <v>0</v>
      </c>
      <c r="G166" s="87" t="str">
        <f>VLOOKUP(A3,'Old Data'!A1:CM88,82,FALSE)</f>
        <v>No</v>
      </c>
      <c r="H166" s="66" t="s">
        <v>1</v>
      </c>
      <c r="I166" s="11" t="str">
        <f>IF(OR(G166="NA",G166="**"),"NA",IF(G166="No","Met",IF(G166="Yes","Not Met")))</f>
        <v>Met</v>
      </c>
      <c r="J166" s="54"/>
      <c r="K166" s="55"/>
      <c r="L166" s="54"/>
      <c r="M166" s="54"/>
      <c r="N166" s="54"/>
      <c r="O166" s="55"/>
      <c r="P166" s="55"/>
      <c r="Q166" s="55"/>
      <c r="R166" s="55"/>
      <c r="S166" s="55"/>
    </row>
    <row r="167" spans="1:20" s="9" customFormat="1" ht="14.25" x14ac:dyDescent="0.2">
      <c r="A167" s="24" t="s">
        <v>310</v>
      </c>
      <c r="B167" s="24"/>
      <c r="C167" s="24"/>
      <c r="D167" s="24"/>
      <c r="E167" s="24"/>
      <c r="F167" s="24"/>
      <c r="G167" s="24"/>
      <c r="H167" s="24"/>
      <c r="I167" s="24"/>
      <c r="J167" s="24"/>
      <c r="K167" s="24"/>
      <c r="L167" s="24"/>
      <c r="M167" s="24"/>
      <c r="N167" s="24"/>
      <c r="O167" s="24"/>
      <c r="P167" s="24"/>
      <c r="Q167" s="24"/>
      <c r="R167" s="24"/>
      <c r="S167" s="24"/>
      <c r="T167" s="52"/>
    </row>
    <row r="168" spans="1:20" s="9" customFormat="1" ht="11.25" x14ac:dyDescent="0.2">
      <c r="A168" s="76" t="s">
        <v>432</v>
      </c>
      <c r="B168" s="75"/>
      <c r="C168" s="75"/>
      <c r="D168" s="75"/>
      <c r="E168" s="75"/>
      <c r="F168" s="75"/>
      <c r="G168" s="75"/>
      <c r="H168" s="75"/>
      <c r="I168" s="75"/>
      <c r="J168" s="75"/>
      <c r="K168" s="75"/>
      <c r="L168" s="75"/>
      <c r="M168" s="75"/>
      <c r="N168" s="75"/>
      <c r="O168" s="75"/>
      <c r="P168" s="75"/>
      <c r="Q168" s="75"/>
      <c r="R168" s="75"/>
      <c r="S168" s="75"/>
      <c r="T168" s="51"/>
    </row>
    <row r="169" spans="1:20" s="9" customFormat="1" ht="11.25" x14ac:dyDescent="0.2">
      <c r="A169" s="75" t="s">
        <v>433</v>
      </c>
      <c r="B169" s="75"/>
      <c r="C169" s="75"/>
      <c r="D169" s="75"/>
      <c r="E169" s="75"/>
      <c r="F169" s="75"/>
      <c r="G169" s="75"/>
      <c r="H169" s="75"/>
      <c r="I169" s="75"/>
      <c r="J169" s="75"/>
      <c r="K169" s="75"/>
      <c r="L169" s="75"/>
      <c r="M169" s="75"/>
      <c r="N169" s="75"/>
      <c r="O169" s="75"/>
      <c r="P169" s="75"/>
      <c r="Q169" s="75"/>
      <c r="R169" s="75"/>
      <c r="S169" s="75"/>
      <c r="T169" s="51"/>
    </row>
    <row r="170" spans="1:20" s="9" customFormat="1" ht="11.25" x14ac:dyDescent="0.2">
      <c r="A170" s="75" t="s">
        <v>434</v>
      </c>
      <c r="B170" s="75"/>
      <c r="C170" s="75"/>
      <c r="D170" s="75"/>
      <c r="E170" s="75"/>
      <c r="F170" s="75"/>
      <c r="G170" s="75"/>
      <c r="H170" s="75"/>
      <c r="I170" s="75"/>
      <c r="J170" s="75"/>
      <c r="K170" s="75"/>
      <c r="L170" s="75"/>
      <c r="M170" s="75"/>
      <c r="N170" s="75"/>
      <c r="O170" s="75"/>
      <c r="P170" s="75"/>
      <c r="Q170" s="75"/>
      <c r="R170" s="75"/>
      <c r="S170" s="75"/>
      <c r="T170" s="51"/>
    </row>
    <row r="171" spans="1:20" s="9" customFormat="1" ht="44.25" customHeight="1" x14ac:dyDescent="0.2">
      <c r="A171" s="67" t="s">
        <v>320</v>
      </c>
      <c r="B171" s="64" t="s">
        <v>296</v>
      </c>
      <c r="C171" s="65" t="s">
        <v>2</v>
      </c>
      <c r="D171" s="66" t="s">
        <v>298</v>
      </c>
      <c r="E171" s="65" t="s">
        <v>23</v>
      </c>
      <c r="F171" s="66" t="s">
        <v>0</v>
      </c>
      <c r="G171" s="87" t="str">
        <f>VLOOKUP(A3,'Old Data'!A1:CM88,83,FALSE)</f>
        <v>No</v>
      </c>
      <c r="H171" s="66" t="s">
        <v>1</v>
      </c>
      <c r="I171" s="11" t="str">
        <f>IF(OR(G171="NA",G171="**"),"NA",IF(G171="No","Met",IF(G171="Yes","Not Met")))</f>
        <v>Met</v>
      </c>
      <c r="J171" s="54"/>
      <c r="K171" s="55"/>
      <c r="L171" s="54"/>
      <c r="M171" s="54"/>
      <c r="N171" s="54"/>
      <c r="O171" s="55"/>
      <c r="P171" s="55"/>
      <c r="Q171" s="55"/>
      <c r="R171" s="55"/>
      <c r="S171" s="55"/>
    </row>
    <row r="172" spans="1:20" s="9" customFormat="1" ht="14.25" x14ac:dyDescent="0.2">
      <c r="A172" s="24" t="s">
        <v>146</v>
      </c>
      <c r="B172" s="24"/>
      <c r="C172" s="24"/>
      <c r="D172" s="24"/>
      <c r="E172" s="24"/>
      <c r="F172" s="24"/>
      <c r="G172" s="24"/>
      <c r="H172" s="24"/>
      <c r="I172" s="24"/>
      <c r="J172" s="24"/>
      <c r="K172" s="24"/>
      <c r="L172" s="24"/>
      <c r="M172" s="24"/>
      <c r="N172" s="24"/>
      <c r="O172" s="24"/>
      <c r="P172" s="24"/>
      <c r="Q172" s="24"/>
      <c r="R172" s="24"/>
      <c r="S172" s="24"/>
      <c r="T172" s="52"/>
    </row>
    <row r="173" spans="1:20" s="9" customFormat="1" ht="11.25" x14ac:dyDescent="0.2">
      <c r="A173" s="76" t="s">
        <v>435</v>
      </c>
      <c r="B173" s="75"/>
      <c r="C173" s="75"/>
      <c r="D173" s="75"/>
      <c r="E173" s="75"/>
      <c r="F173" s="75"/>
      <c r="G173" s="75"/>
      <c r="H173" s="75"/>
      <c r="I173" s="75"/>
      <c r="J173" s="75"/>
      <c r="K173" s="75"/>
      <c r="L173" s="75"/>
      <c r="M173" s="75"/>
      <c r="N173" s="75"/>
      <c r="O173" s="75"/>
      <c r="P173" s="75"/>
      <c r="Q173" s="75"/>
      <c r="R173" s="75"/>
      <c r="S173" s="75"/>
      <c r="T173" s="51"/>
    </row>
    <row r="174" spans="1:20" s="9" customFormat="1" ht="11.25" x14ac:dyDescent="0.2">
      <c r="A174" s="75" t="s">
        <v>436</v>
      </c>
      <c r="B174" s="75"/>
      <c r="C174" s="75"/>
      <c r="D174" s="75"/>
      <c r="E174" s="75"/>
      <c r="F174" s="75"/>
      <c r="G174" s="75"/>
      <c r="H174" s="75"/>
      <c r="I174" s="75"/>
      <c r="J174" s="75"/>
      <c r="K174" s="75"/>
      <c r="L174" s="75"/>
      <c r="M174" s="75"/>
      <c r="N174" s="75"/>
      <c r="O174" s="75"/>
      <c r="P174" s="75"/>
      <c r="Q174" s="75"/>
      <c r="R174" s="75"/>
      <c r="S174" s="75"/>
      <c r="T174" s="51"/>
    </row>
    <row r="175" spans="1:20" s="9" customFormat="1" ht="44.25" customHeight="1" x14ac:dyDescent="0.2">
      <c r="A175" s="67" t="s">
        <v>320</v>
      </c>
      <c r="B175" s="64" t="s">
        <v>296</v>
      </c>
      <c r="C175" s="65">
        <v>1</v>
      </c>
      <c r="D175" s="66" t="s">
        <v>298</v>
      </c>
      <c r="E175" s="65">
        <v>0.99250000000000005</v>
      </c>
      <c r="F175" s="66" t="s">
        <v>0</v>
      </c>
      <c r="G175" s="87">
        <f>VLOOKUP(A3,'Old Data'!A1:CM88,84,FALSE)</f>
        <v>1</v>
      </c>
      <c r="H175" s="66" t="s">
        <v>1</v>
      </c>
      <c r="I175" s="11" t="str">
        <f>IF(OR(G175="NA",G175="**"),"NA",IF(G175&lt;C175,"Not Met","Met"))</f>
        <v>Met</v>
      </c>
      <c r="J175" s="25"/>
      <c r="L175" s="25"/>
      <c r="M175" s="25"/>
      <c r="N175" s="25"/>
    </row>
    <row r="176" spans="1:20" s="9" customFormat="1" ht="14.25" x14ac:dyDescent="0.2">
      <c r="A176" s="24" t="s">
        <v>147</v>
      </c>
      <c r="B176" s="24"/>
      <c r="C176" s="24"/>
      <c r="D176" s="24"/>
      <c r="E176" s="24"/>
      <c r="F176" s="24"/>
      <c r="G176" s="24"/>
      <c r="H176" s="24"/>
      <c r="I176" s="24"/>
      <c r="J176" s="24"/>
      <c r="K176" s="24"/>
      <c r="L176" s="24"/>
      <c r="M176" s="24"/>
      <c r="N176" s="24"/>
      <c r="O176" s="24"/>
      <c r="P176" s="24"/>
      <c r="Q176" s="24"/>
      <c r="R176" s="24"/>
      <c r="S176" s="24"/>
      <c r="T176" s="52"/>
    </row>
    <row r="177" spans="1:20" s="9" customFormat="1" ht="11.25" x14ac:dyDescent="0.2">
      <c r="A177" s="76" t="s">
        <v>437</v>
      </c>
      <c r="B177" s="75"/>
      <c r="C177" s="75"/>
      <c r="D177" s="75"/>
      <c r="E177" s="75"/>
      <c r="F177" s="75"/>
      <c r="G177" s="75"/>
      <c r="H177" s="75"/>
      <c r="I177" s="75"/>
      <c r="J177" s="75"/>
      <c r="K177" s="75"/>
      <c r="L177" s="75"/>
      <c r="M177" s="75"/>
      <c r="N177" s="75"/>
      <c r="O177" s="75"/>
      <c r="P177" s="75"/>
      <c r="Q177" s="75"/>
      <c r="R177" s="75"/>
      <c r="S177" s="75"/>
      <c r="T177" s="51"/>
    </row>
    <row r="178" spans="1:20" s="9" customFormat="1" ht="11.25" x14ac:dyDescent="0.2">
      <c r="A178" s="75" t="s">
        <v>438</v>
      </c>
      <c r="B178" s="75"/>
      <c r="C178" s="75"/>
      <c r="D178" s="75"/>
      <c r="E178" s="75"/>
      <c r="F178" s="75"/>
      <c r="G178" s="75"/>
      <c r="H178" s="75"/>
      <c r="I178" s="75"/>
      <c r="J178" s="75"/>
      <c r="K178" s="75"/>
      <c r="L178" s="75"/>
      <c r="M178" s="75"/>
      <c r="N178" s="75"/>
      <c r="O178" s="75"/>
      <c r="P178" s="75"/>
      <c r="Q178" s="75"/>
      <c r="R178" s="75"/>
      <c r="S178" s="75"/>
      <c r="T178" s="51"/>
    </row>
    <row r="179" spans="1:20" s="9" customFormat="1" ht="11.25" x14ac:dyDescent="0.2">
      <c r="A179" s="75" t="s">
        <v>439</v>
      </c>
      <c r="B179" s="75"/>
      <c r="C179" s="75"/>
      <c r="D179" s="75"/>
      <c r="E179" s="75"/>
      <c r="F179" s="75"/>
      <c r="G179" s="75"/>
      <c r="H179" s="75"/>
      <c r="I179" s="75"/>
      <c r="J179" s="75"/>
      <c r="K179" s="75"/>
      <c r="L179" s="75"/>
      <c r="M179" s="75"/>
      <c r="N179" s="75"/>
      <c r="O179" s="75"/>
      <c r="P179" s="75"/>
      <c r="Q179" s="75"/>
      <c r="R179" s="75"/>
      <c r="S179" s="75"/>
      <c r="T179" s="51"/>
    </row>
    <row r="180" spans="1:20" s="9" customFormat="1" ht="44.25" customHeight="1" x14ac:dyDescent="0.2">
      <c r="A180" s="67" t="s">
        <v>320</v>
      </c>
      <c r="B180" s="64" t="s">
        <v>296</v>
      </c>
      <c r="C180" s="65">
        <v>1</v>
      </c>
      <c r="D180" s="66" t="s">
        <v>298</v>
      </c>
      <c r="E180" s="65">
        <v>0.995</v>
      </c>
      <c r="F180" s="66" t="s">
        <v>0</v>
      </c>
      <c r="G180" s="87">
        <f>VLOOKUP(A3,'Old Data'!A1:CM88,85,FALSE)</f>
        <v>1</v>
      </c>
      <c r="H180" s="66" t="s">
        <v>1</v>
      </c>
      <c r="I180" s="11" t="str">
        <f t="shared" si="3"/>
        <v>Met</v>
      </c>
      <c r="J180" s="25"/>
      <c r="L180" s="25"/>
      <c r="M180" s="25"/>
      <c r="N180" s="25"/>
    </row>
    <row r="181" spans="1:20" s="9" customFormat="1" ht="14.25" x14ac:dyDescent="0.2">
      <c r="A181" s="24" t="s">
        <v>148</v>
      </c>
      <c r="B181" s="24"/>
      <c r="C181" s="24"/>
      <c r="D181" s="24"/>
      <c r="E181" s="24"/>
      <c r="F181" s="24"/>
      <c r="G181" s="24"/>
      <c r="H181" s="24"/>
      <c r="I181" s="24"/>
      <c r="J181" s="24"/>
      <c r="K181" s="24"/>
      <c r="L181" s="24"/>
      <c r="M181" s="24"/>
      <c r="N181" s="24"/>
      <c r="O181" s="24"/>
      <c r="P181" s="24"/>
      <c r="Q181" s="24"/>
      <c r="R181" s="24"/>
      <c r="S181" s="24"/>
      <c r="T181" s="52"/>
    </row>
    <row r="182" spans="1:20" s="9" customFormat="1" ht="11.25" x14ac:dyDescent="0.2">
      <c r="A182" s="76" t="s">
        <v>440</v>
      </c>
      <c r="B182" s="75"/>
      <c r="C182" s="75"/>
      <c r="D182" s="75"/>
      <c r="E182" s="75"/>
      <c r="F182" s="75"/>
      <c r="G182" s="75"/>
      <c r="H182" s="75"/>
      <c r="I182" s="75"/>
      <c r="J182" s="75"/>
      <c r="K182" s="75"/>
      <c r="L182" s="75"/>
      <c r="M182" s="75"/>
      <c r="N182" s="75"/>
      <c r="O182" s="75"/>
      <c r="P182" s="75"/>
      <c r="Q182" s="75"/>
      <c r="R182" s="75"/>
      <c r="S182" s="75"/>
      <c r="T182" s="51"/>
    </row>
    <row r="183" spans="1:20" s="9" customFormat="1" ht="11.25" x14ac:dyDescent="0.2">
      <c r="A183" s="75" t="s">
        <v>441</v>
      </c>
      <c r="B183" s="75"/>
      <c r="C183" s="75"/>
      <c r="D183" s="75"/>
      <c r="E183" s="75"/>
      <c r="F183" s="75"/>
      <c r="G183" s="75"/>
      <c r="H183" s="75"/>
      <c r="I183" s="75"/>
      <c r="J183" s="75"/>
      <c r="K183" s="75"/>
      <c r="L183" s="75"/>
      <c r="M183" s="75"/>
      <c r="N183" s="75"/>
      <c r="O183" s="75"/>
      <c r="P183" s="75"/>
      <c r="Q183" s="75"/>
      <c r="R183" s="75"/>
      <c r="S183" s="75"/>
      <c r="T183" s="51"/>
    </row>
    <row r="184" spans="1:20" s="9" customFormat="1" ht="44.25" customHeight="1" x14ac:dyDescent="0.2">
      <c r="A184" s="67" t="s">
        <v>320</v>
      </c>
      <c r="B184" s="64" t="s">
        <v>296</v>
      </c>
      <c r="C184" s="65">
        <v>1</v>
      </c>
      <c r="D184" s="66" t="s">
        <v>298</v>
      </c>
      <c r="E184" s="65">
        <v>0.95350000000000001</v>
      </c>
      <c r="F184" s="66" t="s">
        <v>0</v>
      </c>
      <c r="G184" s="87">
        <f>VLOOKUP(A3,'Old Data'!A1:CM88,86,FALSE)</f>
        <v>1</v>
      </c>
      <c r="H184" s="66" t="s">
        <v>1</v>
      </c>
      <c r="I184" s="11" t="str">
        <f t="shared" ref="I184" si="5">IF(OR(G184="NA",G184="**"),"NA",IF(G184&lt;C184,"Not Met","Met"))</f>
        <v>Met</v>
      </c>
      <c r="J184" s="25"/>
      <c r="L184" s="25"/>
      <c r="M184" s="25"/>
      <c r="N184" s="25"/>
    </row>
    <row r="185" spans="1:20" s="9" customFormat="1" ht="14.25" x14ac:dyDescent="0.2">
      <c r="A185" s="24" t="s">
        <v>338</v>
      </c>
      <c r="B185" s="24"/>
      <c r="C185" s="24"/>
      <c r="D185" s="24"/>
      <c r="E185" s="24"/>
      <c r="F185" s="24"/>
      <c r="G185" s="24"/>
      <c r="H185" s="24"/>
      <c r="I185" s="24"/>
      <c r="J185" s="24"/>
      <c r="K185" s="24"/>
      <c r="L185" s="24"/>
      <c r="M185" s="24"/>
      <c r="N185" s="24"/>
      <c r="O185" s="24"/>
      <c r="P185" s="24"/>
      <c r="Q185" s="24"/>
      <c r="R185" s="24"/>
      <c r="S185" s="24"/>
      <c r="T185" s="52"/>
    </row>
    <row r="186" spans="1:20" s="9" customFormat="1" ht="11.25" x14ac:dyDescent="0.2">
      <c r="A186" s="76" t="s">
        <v>442</v>
      </c>
      <c r="B186" s="75"/>
      <c r="C186" s="75"/>
      <c r="D186" s="75"/>
      <c r="E186" s="75"/>
      <c r="F186" s="75"/>
      <c r="G186" s="75"/>
      <c r="H186" s="75"/>
      <c r="I186" s="75"/>
      <c r="J186" s="75"/>
      <c r="K186" s="75"/>
      <c r="L186" s="75"/>
      <c r="M186" s="75"/>
      <c r="N186" s="75"/>
      <c r="O186" s="75"/>
      <c r="P186" s="75"/>
      <c r="Q186" s="75"/>
      <c r="R186" s="75"/>
      <c r="S186" s="75"/>
      <c r="T186" s="51"/>
    </row>
    <row r="187" spans="1:20" s="9" customFormat="1" ht="11.25" x14ac:dyDescent="0.2">
      <c r="A187" s="75" t="s">
        <v>443</v>
      </c>
      <c r="B187" s="75"/>
      <c r="C187" s="75"/>
      <c r="D187" s="75"/>
      <c r="E187" s="75"/>
      <c r="F187" s="75"/>
      <c r="G187" s="75"/>
      <c r="H187" s="75"/>
      <c r="I187" s="75"/>
      <c r="J187" s="75"/>
      <c r="K187" s="75"/>
      <c r="L187" s="75"/>
      <c r="M187" s="75"/>
      <c r="N187" s="75"/>
      <c r="O187" s="75"/>
      <c r="P187" s="75"/>
      <c r="Q187" s="75"/>
      <c r="R187" s="75"/>
      <c r="S187" s="75"/>
      <c r="T187" s="51"/>
    </row>
    <row r="188" spans="1:20" s="9" customFormat="1" ht="11.25" x14ac:dyDescent="0.2">
      <c r="A188" s="75" t="s">
        <v>444</v>
      </c>
      <c r="B188" s="75"/>
      <c r="C188" s="75"/>
      <c r="D188" s="75"/>
      <c r="E188" s="75"/>
      <c r="F188" s="75"/>
      <c r="G188" s="75"/>
      <c r="H188" s="75"/>
      <c r="I188" s="75"/>
      <c r="J188" s="75"/>
      <c r="K188" s="75"/>
      <c r="L188" s="75"/>
      <c r="M188" s="75"/>
      <c r="N188" s="75"/>
      <c r="O188" s="75"/>
      <c r="P188" s="75"/>
      <c r="Q188" s="75"/>
      <c r="R188" s="75"/>
      <c r="S188" s="75"/>
      <c r="T188" s="51"/>
    </row>
    <row r="189" spans="1:20" s="9" customFormat="1" ht="44.25" customHeight="1" x14ac:dyDescent="0.2">
      <c r="A189" s="67" t="s">
        <v>320</v>
      </c>
      <c r="B189" s="64" t="s">
        <v>294</v>
      </c>
      <c r="C189" s="65">
        <v>0.11360000000000001</v>
      </c>
      <c r="D189" s="66" t="s">
        <v>298</v>
      </c>
      <c r="E189" s="65">
        <v>0.2455</v>
      </c>
      <c r="F189" s="66" t="s">
        <v>0</v>
      </c>
      <c r="G189" s="87">
        <f>VLOOKUP(A3,'Old Data'!A1:CM88,87,FALSE)</f>
        <v>0.33329999999999999</v>
      </c>
      <c r="H189" s="66" t="s">
        <v>1</v>
      </c>
      <c r="I189" s="11" t="str">
        <f t="shared" ref="I189" si="6">IF(OR(G189="NA",G189="**"),"NA",IF(G189&lt;C189,"Not Met","Met"))</f>
        <v>Met</v>
      </c>
      <c r="J189" s="25"/>
      <c r="L189" s="25"/>
      <c r="M189" s="25"/>
      <c r="N189" s="25"/>
    </row>
    <row r="190" spans="1:20" s="9" customFormat="1" ht="11.25" x14ac:dyDescent="0.2">
      <c r="A190" s="76" t="s">
        <v>445</v>
      </c>
      <c r="B190" s="75"/>
      <c r="C190" s="75"/>
      <c r="D190" s="75"/>
      <c r="E190" s="75"/>
      <c r="F190" s="75"/>
      <c r="G190" s="75"/>
      <c r="H190" s="75"/>
      <c r="I190" s="75"/>
      <c r="J190" s="75"/>
      <c r="K190" s="75"/>
      <c r="L190" s="75"/>
      <c r="M190" s="75"/>
      <c r="N190" s="75"/>
      <c r="O190" s="75"/>
      <c r="P190" s="75"/>
      <c r="Q190" s="75"/>
      <c r="R190" s="75"/>
      <c r="S190" s="75"/>
      <c r="T190" s="51"/>
    </row>
    <row r="191" spans="1:20" s="9" customFormat="1" ht="11.25" x14ac:dyDescent="0.2">
      <c r="A191" s="75" t="s">
        <v>446</v>
      </c>
      <c r="B191" s="75"/>
      <c r="C191" s="75"/>
      <c r="D191" s="75"/>
      <c r="E191" s="75"/>
      <c r="F191" s="75"/>
      <c r="G191" s="75"/>
      <c r="H191" s="75"/>
      <c r="I191" s="75"/>
      <c r="J191" s="75"/>
      <c r="K191" s="75"/>
      <c r="L191" s="75"/>
      <c r="M191" s="75"/>
      <c r="N191" s="75"/>
      <c r="O191" s="75"/>
      <c r="P191" s="75"/>
      <c r="Q191" s="75"/>
      <c r="R191" s="75"/>
      <c r="S191" s="75"/>
      <c r="T191" s="51"/>
    </row>
    <row r="192" spans="1:20" s="9" customFormat="1" ht="11.25" x14ac:dyDescent="0.2">
      <c r="A192" s="75" t="s">
        <v>447</v>
      </c>
      <c r="B192" s="75"/>
      <c r="C192" s="75"/>
      <c r="D192" s="75"/>
      <c r="E192" s="75"/>
      <c r="F192" s="75"/>
      <c r="G192" s="75"/>
      <c r="H192" s="75"/>
      <c r="I192" s="75"/>
      <c r="J192" s="75"/>
      <c r="K192" s="75"/>
      <c r="L192" s="75"/>
      <c r="M192" s="75"/>
      <c r="N192" s="75"/>
      <c r="O192" s="75"/>
      <c r="P192" s="75"/>
      <c r="Q192" s="75"/>
      <c r="R192" s="75"/>
      <c r="S192" s="75"/>
      <c r="T192" s="51"/>
    </row>
    <row r="193" spans="1:20" s="9" customFormat="1" ht="44.25" customHeight="1" x14ac:dyDescent="0.2">
      <c r="A193" s="67" t="s">
        <v>320</v>
      </c>
      <c r="B193" s="64" t="s">
        <v>294</v>
      </c>
      <c r="C193" s="65">
        <v>0.40889999999999999</v>
      </c>
      <c r="D193" s="66" t="s">
        <v>298</v>
      </c>
      <c r="E193" s="65">
        <v>0.67879999999999996</v>
      </c>
      <c r="F193" s="66" t="s">
        <v>0</v>
      </c>
      <c r="G193" s="87">
        <f>VLOOKUP(A3,'Old Data'!A1:CM88,88,FALSE)</f>
        <v>0.66669999999999996</v>
      </c>
      <c r="H193" s="66" t="s">
        <v>1</v>
      </c>
      <c r="I193" s="11" t="str">
        <f>IF(OR(G193="NA",G193="**"),"NA",IF(G193&lt;C193,"Not Met","Met"))</f>
        <v>Met</v>
      </c>
      <c r="J193" s="25"/>
      <c r="L193" s="25"/>
      <c r="M193" s="25"/>
      <c r="N193" s="25"/>
    </row>
    <row r="194" spans="1:20" s="9" customFormat="1" ht="11.25" x14ac:dyDescent="0.2">
      <c r="A194" s="76" t="s">
        <v>448</v>
      </c>
      <c r="B194" s="75"/>
      <c r="C194" s="75"/>
      <c r="D194" s="75"/>
      <c r="E194" s="75"/>
      <c r="F194" s="75"/>
      <c r="G194" s="75"/>
      <c r="H194" s="75"/>
      <c r="I194" s="75"/>
      <c r="J194" s="75"/>
      <c r="K194" s="75"/>
      <c r="L194" s="75"/>
      <c r="M194" s="75"/>
      <c r="N194" s="75"/>
      <c r="O194" s="75"/>
      <c r="P194" s="75"/>
      <c r="Q194" s="75"/>
      <c r="R194" s="75"/>
      <c r="S194" s="75"/>
      <c r="T194" s="51"/>
    </row>
    <row r="195" spans="1:20" s="9" customFormat="1" ht="11.25" x14ac:dyDescent="0.2">
      <c r="A195" s="75" t="s">
        <v>446</v>
      </c>
      <c r="B195" s="75"/>
      <c r="C195" s="75"/>
      <c r="D195" s="75"/>
      <c r="E195" s="75"/>
      <c r="F195" s="75"/>
      <c r="G195" s="75"/>
      <c r="H195" s="75"/>
      <c r="I195" s="75"/>
      <c r="J195" s="75"/>
      <c r="K195" s="75"/>
      <c r="L195" s="75"/>
      <c r="M195" s="75"/>
      <c r="N195" s="75"/>
      <c r="O195" s="75"/>
      <c r="P195" s="75"/>
      <c r="Q195" s="75"/>
      <c r="R195" s="75"/>
      <c r="S195" s="75"/>
      <c r="T195" s="51"/>
    </row>
    <row r="196" spans="1:20" s="9" customFormat="1" ht="11.25" x14ac:dyDescent="0.2">
      <c r="A196" s="75" t="s">
        <v>449</v>
      </c>
      <c r="B196" s="75"/>
      <c r="C196" s="75"/>
      <c r="D196" s="75"/>
      <c r="E196" s="75"/>
      <c r="F196" s="75"/>
      <c r="G196" s="75"/>
      <c r="H196" s="75"/>
      <c r="I196" s="75"/>
      <c r="J196" s="75"/>
      <c r="K196" s="75"/>
      <c r="L196" s="75"/>
      <c r="M196" s="75"/>
      <c r="N196" s="75"/>
      <c r="O196" s="75"/>
      <c r="P196" s="75"/>
      <c r="Q196" s="75"/>
      <c r="R196" s="75"/>
      <c r="S196" s="75"/>
      <c r="T196" s="51"/>
    </row>
    <row r="197" spans="1:20" s="9" customFormat="1" ht="44.25" customHeight="1" x14ac:dyDescent="0.2">
      <c r="A197" s="67" t="s">
        <v>320</v>
      </c>
      <c r="B197" s="64" t="s">
        <v>294</v>
      </c>
      <c r="C197" s="65">
        <v>0.84460000000000002</v>
      </c>
      <c r="D197" s="66" t="s">
        <v>298</v>
      </c>
      <c r="E197" s="65">
        <v>0.74050000000000005</v>
      </c>
      <c r="F197" s="66" t="s">
        <v>0</v>
      </c>
      <c r="G197" s="87">
        <f>VLOOKUP(A3,'Old Data'!A1:CM88,89,FALSE)</f>
        <v>0.75</v>
      </c>
      <c r="H197" s="66" t="s">
        <v>1</v>
      </c>
      <c r="I197" s="11" t="str">
        <f t="shared" ref="I197" si="7">IF(OR(G197="NA",G197="**"),"NA",IF(G197&lt;C197,"Not Met","Met"))</f>
        <v>Not Met</v>
      </c>
      <c r="J197" s="25"/>
      <c r="L197" s="25"/>
      <c r="M197" s="25"/>
      <c r="N197" s="25"/>
    </row>
    <row r="198" spans="1:20" s="9" customFormat="1" ht="14.25" x14ac:dyDescent="0.2">
      <c r="A198" s="24" t="s">
        <v>297</v>
      </c>
      <c r="B198" s="24"/>
      <c r="C198" s="24"/>
      <c r="D198" s="24"/>
      <c r="E198" s="24"/>
      <c r="F198" s="24"/>
      <c r="G198" s="24"/>
      <c r="H198" s="24"/>
      <c r="I198" s="24"/>
      <c r="J198" s="24"/>
      <c r="K198" s="24"/>
      <c r="L198" s="24"/>
      <c r="M198" s="24"/>
      <c r="N198" s="24"/>
      <c r="O198" s="24"/>
      <c r="P198" s="24"/>
      <c r="Q198" s="24"/>
      <c r="R198" s="24"/>
      <c r="S198" s="24"/>
      <c r="T198" s="52"/>
    </row>
    <row r="199" spans="1:20" s="9" customFormat="1" ht="11.25" x14ac:dyDescent="0.2">
      <c r="A199" s="38" t="s">
        <v>321</v>
      </c>
      <c r="B199" s="34"/>
      <c r="C199" s="34"/>
      <c r="D199" s="34"/>
      <c r="E199" s="34"/>
      <c r="F199" s="34"/>
      <c r="G199" s="34"/>
      <c r="H199" s="34"/>
      <c r="I199" s="34"/>
      <c r="J199" s="34"/>
      <c r="K199" s="34"/>
      <c r="L199" s="34"/>
      <c r="M199" s="34"/>
      <c r="N199" s="34"/>
      <c r="O199" s="34"/>
      <c r="P199" s="34"/>
      <c r="Q199" s="34"/>
      <c r="R199" s="34"/>
      <c r="S199" s="34"/>
      <c r="T199" s="53"/>
    </row>
  </sheetData>
  <sheetProtection algorithmName="SHA-512" hashValue="r33nvYEtG+WAFo2hNxRiPGv/ITIfiPJkXJ+sPXMg4A8tDe6DmO8YS8XwyOkaGEvQeFY/FVv9dL/VaJsX2pe0kg==" saltValue="QFW5ZthgcIsUUUwoHnHF5w==" spinCount="100000" sheet="1" objects="1" scenarios="1" selectLockedCells="1" selectUnlockedCells="1"/>
  <conditionalFormatting sqref="I109">
    <cfRule type="containsText" dxfId="164" priority="842" operator="containsText" text="Not Met">
      <formula>NOT(ISERROR(SEARCH("Not Met",I109)))</formula>
    </cfRule>
  </conditionalFormatting>
  <conditionalFormatting sqref="I109">
    <cfRule type="containsText" dxfId="163" priority="837" operator="containsText" text="NA">
      <formula>NOT(ISERROR(SEARCH("NA",I109)))</formula>
    </cfRule>
  </conditionalFormatting>
  <conditionalFormatting sqref="I112">
    <cfRule type="containsText" dxfId="162" priority="164" operator="containsText" text="Not Met">
      <formula>NOT(ISERROR(SEARCH("Not Met",I112)))</formula>
    </cfRule>
  </conditionalFormatting>
  <conditionalFormatting sqref="I112">
    <cfRule type="containsText" dxfId="161" priority="163" operator="containsText" text="NA">
      <formula>NOT(ISERROR(SEARCH("NA",I112)))</formula>
    </cfRule>
  </conditionalFormatting>
  <conditionalFormatting sqref="I115">
    <cfRule type="containsText" dxfId="160" priority="161" operator="containsText" text="Not Met">
      <formula>NOT(ISERROR(SEARCH("Not Met",I115)))</formula>
    </cfRule>
  </conditionalFormatting>
  <conditionalFormatting sqref="I115">
    <cfRule type="containsText" dxfId="159" priority="160" operator="containsText" text="NA">
      <formula>NOT(ISERROR(SEARCH("NA",I115)))</formula>
    </cfRule>
  </conditionalFormatting>
  <conditionalFormatting sqref="I118">
    <cfRule type="containsText" dxfId="158" priority="158" operator="containsText" text="Not Met">
      <formula>NOT(ISERROR(SEARCH("Not Met",I118)))</formula>
    </cfRule>
  </conditionalFormatting>
  <conditionalFormatting sqref="I118">
    <cfRule type="containsText" dxfId="157" priority="157" operator="containsText" text="NA">
      <formula>NOT(ISERROR(SEARCH("NA",I118)))</formula>
    </cfRule>
  </conditionalFormatting>
  <conditionalFormatting sqref="I121">
    <cfRule type="containsText" dxfId="156" priority="155" operator="containsText" text="Not Met">
      <formula>NOT(ISERROR(SEARCH("Not Met",I121)))</formula>
    </cfRule>
  </conditionalFormatting>
  <conditionalFormatting sqref="I121">
    <cfRule type="containsText" dxfId="155" priority="154" operator="containsText" text="NA">
      <formula>NOT(ISERROR(SEARCH("NA",I121)))</formula>
    </cfRule>
  </conditionalFormatting>
  <conditionalFormatting sqref="I124">
    <cfRule type="containsText" dxfId="154" priority="152" operator="containsText" text="Not Met">
      <formula>NOT(ISERROR(SEARCH("Not Met",I124)))</formula>
    </cfRule>
  </conditionalFormatting>
  <conditionalFormatting sqref="I124">
    <cfRule type="containsText" dxfId="153" priority="151" operator="containsText" text="NA">
      <formula>NOT(ISERROR(SEARCH("NA",I124)))</formula>
    </cfRule>
  </conditionalFormatting>
  <conditionalFormatting sqref="I127">
    <cfRule type="containsText" dxfId="152" priority="149" operator="containsText" text="Not Met">
      <formula>NOT(ISERROR(SEARCH("Not Met",I127)))</formula>
    </cfRule>
  </conditionalFormatting>
  <conditionalFormatting sqref="I127">
    <cfRule type="containsText" dxfId="151" priority="148" operator="containsText" text="NA">
      <formula>NOT(ISERROR(SEARCH("NA",I127)))</formula>
    </cfRule>
  </conditionalFormatting>
  <conditionalFormatting sqref="I130">
    <cfRule type="containsText" dxfId="150" priority="146" operator="containsText" text="Not Met">
      <formula>NOT(ISERROR(SEARCH("Not Met",I130)))</formula>
    </cfRule>
  </conditionalFormatting>
  <conditionalFormatting sqref="I130">
    <cfRule type="containsText" dxfId="149" priority="145" operator="containsText" text="NA">
      <formula>NOT(ISERROR(SEARCH("NA",I130)))</formula>
    </cfRule>
  </conditionalFormatting>
  <conditionalFormatting sqref="I133">
    <cfRule type="containsText" dxfId="148" priority="143" operator="containsText" text="Not Met">
      <formula>NOT(ISERROR(SEARCH("Not Met",I133)))</formula>
    </cfRule>
  </conditionalFormatting>
  <conditionalFormatting sqref="I133">
    <cfRule type="containsText" dxfId="147" priority="142" operator="containsText" text="NA">
      <formula>NOT(ISERROR(SEARCH("NA",I133)))</formula>
    </cfRule>
  </conditionalFormatting>
  <conditionalFormatting sqref="I138">
    <cfRule type="containsText" dxfId="146" priority="140" operator="containsText" text="Not Met">
      <formula>NOT(ISERROR(SEARCH("Not Met",I138)))</formula>
    </cfRule>
  </conditionalFormatting>
  <conditionalFormatting sqref="I138">
    <cfRule type="containsText" dxfId="145" priority="139" operator="containsText" text="NA">
      <formula>NOT(ISERROR(SEARCH("NA",I138)))</formula>
    </cfRule>
  </conditionalFormatting>
  <conditionalFormatting sqref="I142">
    <cfRule type="containsText" dxfId="144" priority="137" operator="containsText" text="Not Met">
      <formula>NOT(ISERROR(SEARCH("Not Met",I142)))</formula>
    </cfRule>
  </conditionalFormatting>
  <conditionalFormatting sqref="I142">
    <cfRule type="containsText" dxfId="143" priority="136" operator="containsText" text="NA">
      <formula>NOT(ISERROR(SEARCH("NA",I142)))</formula>
    </cfRule>
  </conditionalFormatting>
  <conditionalFormatting sqref="I146">
    <cfRule type="containsText" dxfId="142" priority="134" operator="containsText" text="Not Met">
      <formula>NOT(ISERROR(SEARCH("Not Met",I146)))</formula>
    </cfRule>
  </conditionalFormatting>
  <conditionalFormatting sqref="I146">
    <cfRule type="containsText" dxfId="141" priority="133" operator="containsText" text="NA">
      <formula>NOT(ISERROR(SEARCH("NA",I146)))</formula>
    </cfRule>
  </conditionalFormatting>
  <conditionalFormatting sqref="I150">
    <cfRule type="containsText" dxfId="140" priority="131" operator="containsText" text="Not Met">
      <formula>NOT(ISERROR(SEARCH("Not Met",I150)))</formula>
    </cfRule>
  </conditionalFormatting>
  <conditionalFormatting sqref="I150">
    <cfRule type="containsText" dxfId="139" priority="130" operator="containsText" text="NA">
      <formula>NOT(ISERROR(SEARCH("NA",I150)))</formula>
    </cfRule>
  </conditionalFormatting>
  <conditionalFormatting sqref="I154">
    <cfRule type="containsText" dxfId="138" priority="128" operator="containsText" text="Not Met">
      <formula>NOT(ISERROR(SEARCH("Not Met",I154)))</formula>
    </cfRule>
  </conditionalFormatting>
  <conditionalFormatting sqref="I154">
    <cfRule type="containsText" dxfId="137" priority="127" operator="containsText" text="NA">
      <formula>NOT(ISERROR(SEARCH("NA",I154)))</formula>
    </cfRule>
  </conditionalFormatting>
  <conditionalFormatting sqref="I158">
    <cfRule type="containsText" dxfId="136" priority="125" operator="containsText" text="Not Met">
      <formula>NOT(ISERROR(SEARCH("Not Met",I158)))</formula>
    </cfRule>
  </conditionalFormatting>
  <conditionalFormatting sqref="I158">
    <cfRule type="containsText" dxfId="135" priority="124" operator="containsText" text="NA">
      <formula>NOT(ISERROR(SEARCH("NA",I158)))</formula>
    </cfRule>
  </conditionalFormatting>
  <conditionalFormatting sqref="I180">
    <cfRule type="containsText" dxfId="134" priority="122" operator="containsText" text="Not Met">
      <formula>NOT(ISERROR(SEARCH("Not Met",I180)))</formula>
    </cfRule>
  </conditionalFormatting>
  <conditionalFormatting sqref="I180">
    <cfRule type="containsText" dxfId="133" priority="121" operator="containsText" text="NA">
      <formula>NOT(ISERROR(SEARCH("NA",I180)))</formula>
    </cfRule>
  </conditionalFormatting>
  <conditionalFormatting sqref="I162">
    <cfRule type="containsText" dxfId="132" priority="110" operator="containsText" text="Not Met">
      <formula>NOT(ISERROR(SEARCH("Not Met",I162)))</formula>
    </cfRule>
  </conditionalFormatting>
  <conditionalFormatting sqref="I162">
    <cfRule type="containsText" dxfId="131" priority="109" operator="containsText" text="NA">
      <formula>NOT(ISERROR(SEARCH("NA",I162)))</formula>
    </cfRule>
  </conditionalFormatting>
  <conditionalFormatting sqref="I92">
    <cfRule type="containsText" dxfId="130" priority="116" operator="containsText" text="Not Met">
      <formula>NOT(ISERROR(SEARCH("Not Met",I92)))</formula>
    </cfRule>
  </conditionalFormatting>
  <conditionalFormatting sqref="I92">
    <cfRule type="containsText" dxfId="129" priority="115" operator="containsText" text="NA">
      <formula>NOT(ISERROR(SEARCH("NA",I92)))</formula>
    </cfRule>
  </conditionalFormatting>
  <conditionalFormatting sqref="I95">
    <cfRule type="containsText" dxfId="128" priority="113" operator="containsText" text="Not Met">
      <formula>NOT(ISERROR(SEARCH("Not Met",I95)))</formula>
    </cfRule>
  </conditionalFormatting>
  <conditionalFormatting sqref="I95">
    <cfRule type="containsText" dxfId="127" priority="112" operator="containsText" text="NA">
      <formula>NOT(ISERROR(SEARCH("NA",I95)))</formula>
    </cfRule>
  </conditionalFormatting>
  <conditionalFormatting sqref="I19">
    <cfRule type="containsText" dxfId="126" priority="107" operator="containsText" text="Not Met">
      <formula>NOT(ISERROR(SEARCH("Not Met",I19)))</formula>
    </cfRule>
  </conditionalFormatting>
  <conditionalFormatting sqref="I19">
    <cfRule type="containsText" dxfId="125" priority="106" operator="containsText" text="NA">
      <formula>NOT(ISERROR(SEARCH("NA",I19)))</formula>
    </cfRule>
  </conditionalFormatting>
  <conditionalFormatting sqref="I22">
    <cfRule type="containsText" dxfId="124" priority="104" operator="containsText" text="Not Met">
      <formula>NOT(ISERROR(SEARCH("Not Met",I22)))</formula>
    </cfRule>
  </conditionalFormatting>
  <conditionalFormatting sqref="I22">
    <cfRule type="containsText" dxfId="123" priority="103" operator="containsText" text="NA">
      <formula>NOT(ISERROR(SEARCH("NA",I22)))</formula>
    </cfRule>
  </conditionalFormatting>
  <conditionalFormatting sqref="I25">
    <cfRule type="containsText" dxfId="122" priority="101" operator="containsText" text="Not Met">
      <formula>NOT(ISERROR(SEARCH("Not Met",I25)))</formula>
    </cfRule>
  </conditionalFormatting>
  <conditionalFormatting sqref="I25">
    <cfRule type="containsText" dxfId="121" priority="100" operator="containsText" text="NA">
      <formula>NOT(ISERROR(SEARCH("NA",I25)))</formula>
    </cfRule>
  </conditionalFormatting>
  <conditionalFormatting sqref="I28">
    <cfRule type="containsText" dxfId="120" priority="98" operator="containsText" text="Not Met">
      <formula>NOT(ISERROR(SEARCH("Not Met",I28)))</formula>
    </cfRule>
  </conditionalFormatting>
  <conditionalFormatting sqref="I28">
    <cfRule type="containsText" dxfId="119" priority="97" operator="containsText" text="NA">
      <formula>NOT(ISERROR(SEARCH("NA",I28)))</formula>
    </cfRule>
  </conditionalFormatting>
  <conditionalFormatting sqref="I31">
    <cfRule type="containsText" dxfId="118" priority="95" operator="containsText" text="Not Met">
      <formula>NOT(ISERROR(SEARCH("Not Met",I31)))</formula>
    </cfRule>
  </conditionalFormatting>
  <conditionalFormatting sqref="I31">
    <cfRule type="containsText" dxfId="117" priority="94" operator="containsText" text="NA">
      <formula>NOT(ISERROR(SEARCH("NA",I31)))</formula>
    </cfRule>
  </conditionalFormatting>
  <conditionalFormatting sqref="I34">
    <cfRule type="containsText" dxfId="116" priority="92" operator="containsText" text="Not Met">
      <formula>NOT(ISERROR(SEARCH("Not Met",I34)))</formula>
    </cfRule>
  </conditionalFormatting>
  <conditionalFormatting sqref="I34">
    <cfRule type="containsText" dxfId="115" priority="91" operator="containsText" text="NA">
      <formula>NOT(ISERROR(SEARCH("NA",I34)))</formula>
    </cfRule>
  </conditionalFormatting>
  <conditionalFormatting sqref="I37">
    <cfRule type="containsText" dxfId="114" priority="89" operator="containsText" text="Not Met">
      <formula>NOT(ISERROR(SEARCH("Not Met",I37)))</formula>
    </cfRule>
  </conditionalFormatting>
  <conditionalFormatting sqref="I37">
    <cfRule type="containsText" dxfId="113" priority="88" operator="containsText" text="NA">
      <formula>NOT(ISERROR(SEARCH("NA",I37)))</formula>
    </cfRule>
  </conditionalFormatting>
  <conditionalFormatting sqref="I40">
    <cfRule type="containsText" dxfId="112" priority="86" operator="containsText" text="Not Met">
      <formula>NOT(ISERROR(SEARCH("Not Met",I40)))</formula>
    </cfRule>
  </conditionalFormatting>
  <conditionalFormatting sqref="I40">
    <cfRule type="containsText" dxfId="111" priority="85" operator="containsText" text="NA">
      <formula>NOT(ISERROR(SEARCH("NA",I40)))</formula>
    </cfRule>
  </conditionalFormatting>
  <conditionalFormatting sqref="I43">
    <cfRule type="containsText" dxfId="110" priority="83" operator="containsText" text="Not Met">
      <formula>NOT(ISERROR(SEARCH("Not Met",I43)))</formula>
    </cfRule>
  </conditionalFormatting>
  <conditionalFormatting sqref="I43">
    <cfRule type="containsText" dxfId="109" priority="82" operator="containsText" text="NA">
      <formula>NOT(ISERROR(SEARCH("NA",I43)))</formula>
    </cfRule>
  </conditionalFormatting>
  <conditionalFormatting sqref="I46">
    <cfRule type="containsText" dxfId="108" priority="80" operator="containsText" text="Not Met">
      <formula>NOT(ISERROR(SEARCH("Not Met",I46)))</formula>
    </cfRule>
  </conditionalFormatting>
  <conditionalFormatting sqref="I46">
    <cfRule type="containsText" dxfId="107" priority="79" operator="containsText" text="NA">
      <formula>NOT(ISERROR(SEARCH("NA",I46)))</formula>
    </cfRule>
  </conditionalFormatting>
  <conditionalFormatting sqref="I49">
    <cfRule type="containsText" dxfId="106" priority="77" operator="containsText" text="Not Met">
      <formula>NOT(ISERROR(SEARCH("Not Met",I49)))</formula>
    </cfRule>
  </conditionalFormatting>
  <conditionalFormatting sqref="I49">
    <cfRule type="containsText" dxfId="105" priority="76" operator="containsText" text="NA">
      <formula>NOT(ISERROR(SEARCH("NA",I49)))</formula>
    </cfRule>
  </conditionalFormatting>
  <conditionalFormatting sqref="I52">
    <cfRule type="containsText" dxfId="104" priority="74" operator="containsText" text="Not Met">
      <formula>NOT(ISERROR(SEARCH("Not Met",I52)))</formula>
    </cfRule>
  </conditionalFormatting>
  <conditionalFormatting sqref="I52">
    <cfRule type="containsText" dxfId="103" priority="73" operator="containsText" text="NA">
      <formula>NOT(ISERROR(SEARCH("NA",I52)))</formula>
    </cfRule>
  </conditionalFormatting>
  <conditionalFormatting sqref="I55">
    <cfRule type="containsText" dxfId="102" priority="71" operator="containsText" text="Not Met">
      <formula>NOT(ISERROR(SEARCH("Not Met",I55)))</formula>
    </cfRule>
  </conditionalFormatting>
  <conditionalFormatting sqref="I55">
    <cfRule type="containsText" dxfId="101" priority="70" operator="containsText" text="NA">
      <formula>NOT(ISERROR(SEARCH("NA",I55)))</formula>
    </cfRule>
  </conditionalFormatting>
  <conditionalFormatting sqref="I58">
    <cfRule type="containsText" dxfId="100" priority="68" operator="containsText" text="Not Met">
      <formula>NOT(ISERROR(SEARCH("Not Met",I58)))</formula>
    </cfRule>
  </conditionalFormatting>
  <conditionalFormatting sqref="I58">
    <cfRule type="containsText" dxfId="99" priority="67" operator="containsText" text="NA">
      <formula>NOT(ISERROR(SEARCH("NA",I58)))</formula>
    </cfRule>
  </conditionalFormatting>
  <conditionalFormatting sqref="I61">
    <cfRule type="containsText" dxfId="98" priority="65" operator="containsText" text="Not Met">
      <formula>NOT(ISERROR(SEARCH("Not Met",I61)))</formula>
    </cfRule>
  </conditionalFormatting>
  <conditionalFormatting sqref="I61">
    <cfRule type="containsText" dxfId="97" priority="64" operator="containsText" text="NA">
      <formula>NOT(ISERROR(SEARCH("NA",I61)))</formula>
    </cfRule>
  </conditionalFormatting>
  <conditionalFormatting sqref="I64">
    <cfRule type="containsText" dxfId="96" priority="62" operator="containsText" text="Not Met">
      <formula>NOT(ISERROR(SEARCH("Not Met",I64)))</formula>
    </cfRule>
  </conditionalFormatting>
  <conditionalFormatting sqref="I64">
    <cfRule type="containsText" dxfId="95" priority="61" operator="containsText" text="NA">
      <formula>NOT(ISERROR(SEARCH("NA",I64)))</formula>
    </cfRule>
  </conditionalFormatting>
  <conditionalFormatting sqref="I67">
    <cfRule type="containsText" dxfId="94" priority="59" operator="containsText" text="Not Met">
      <formula>NOT(ISERROR(SEARCH("Not Met",I67)))</formula>
    </cfRule>
  </conditionalFormatting>
  <conditionalFormatting sqref="I67">
    <cfRule type="containsText" dxfId="93" priority="58" operator="containsText" text="NA">
      <formula>NOT(ISERROR(SEARCH("NA",I67)))</formula>
    </cfRule>
  </conditionalFormatting>
  <conditionalFormatting sqref="I70">
    <cfRule type="containsText" dxfId="92" priority="56" operator="containsText" text="Not Met">
      <formula>NOT(ISERROR(SEARCH("Not Met",I70)))</formula>
    </cfRule>
  </conditionalFormatting>
  <conditionalFormatting sqref="I70">
    <cfRule type="containsText" dxfId="91" priority="55" operator="containsText" text="NA">
      <formula>NOT(ISERROR(SEARCH("NA",I70)))</formula>
    </cfRule>
  </conditionalFormatting>
  <conditionalFormatting sqref="I73">
    <cfRule type="containsText" dxfId="90" priority="53" operator="containsText" text="Not Met">
      <formula>NOT(ISERROR(SEARCH("Not Met",I73)))</formula>
    </cfRule>
  </conditionalFormatting>
  <conditionalFormatting sqref="I73">
    <cfRule type="containsText" dxfId="89" priority="52" operator="containsText" text="NA">
      <formula>NOT(ISERROR(SEARCH("NA",I73)))</formula>
    </cfRule>
  </conditionalFormatting>
  <conditionalFormatting sqref="I76">
    <cfRule type="containsText" dxfId="88" priority="50" operator="containsText" text="Not Met">
      <formula>NOT(ISERROR(SEARCH("Not Met",I76)))</formula>
    </cfRule>
  </conditionalFormatting>
  <conditionalFormatting sqref="I76">
    <cfRule type="containsText" dxfId="87" priority="49" operator="containsText" text="NA">
      <formula>NOT(ISERROR(SEARCH("NA",I76)))</formula>
    </cfRule>
  </conditionalFormatting>
  <conditionalFormatting sqref="I79">
    <cfRule type="containsText" dxfId="86" priority="47" operator="containsText" text="Not Met">
      <formula>NOT(ISERROR(SEARCH("Not Met",I79)))</formula>
    </cfRule>
  </conditionalFormatting>
  <conditionalFormatting sqref="I79">
    <cfRule type="containsText" dxfId="85" priority="46" operator="containsText" text="NA">
      <formula>NOT(ISERROR(SEARCH("NA",I79)))</formula>
    </cfRule>
  </conditionalFormatting>
  <conditionalFormatting sqref="I82">
    <cfRule type="containsText" dxfId="84" priority="44" operator="containsText" text="Not Met">
      <formula>NOT(ISERROR(SEARCH("Not Met",I82)))</formula>
    </cfRule>
  </conditionalFormatting>
  <conditionalFormatting sqref="I82">
    <cfRule type="containsText" dxfId="83" priority="43" operator="containsText" text="NA">
      <formula>NOT(ISERROR(SEARCH("NA",I82)))</formula>
    </cfRule>
  </conditionalFormatting>
  <conditionalFormatting sqref="I85">
    <cfRule type="containsText" dxfId="82" priority="41" operator="containsText" text="Not Met">
      <formula>NOT(ISERROR(SEARCH("Not Met",I85)))</formula>
    </cfRule>
  </conditionalFormatting>
  <conditionalFormatting sqref="I85">
    <cfRule type="containsText" dxfId="81" priority="40" operator="containsText" text="NA">
      <formula>NOT(ISERROR(SEARCH("NA",I85)))</formula>
    </cfRule>
  </conditionalFormatting>
  <conditionalFormatting sqref="I88">
    <cfRule type="containsText" dxfId="80" priority="38" operator="containsText" text="Not Met">
      <formula>NOT(ISERROR(SEARCH("Not Met",I88)))</formula>
    </cfRule>
  </conditionalFormatting>
  <conditionalFormatting sqref="I88">
    <cfRule type="containsText" dxfId="79" priority="37" operator="containsText" text="NA">
      <formula>NOT(ISERROR(SEARCH("NA",I88)))</formula>
    </cfRule>
  </conditionalFormatting>
  <conditionalFormatting sqref="I99">
    <cfRule type="containsText" dxfId="78" priority="35" operator="containsText" text="Not Met">
      <formula>NOT(ISERROR(SEARCH("Not Met",I99)))</formula>
    </cfRule>
  </conditionalFormatting>
  <conditionalFormatting sqref="I99">
    <cfRule type="containsText" dxfId="77" priority="34" operator="containsText" text="NA">
      <formula>NOT(ISERROR(SEARCH("NA",I99)))</formula>
    </cfRule>
  </conditionalFormatting>
  <conditionalFormatting sqref="I102">
    <cfRule type="containsText" dxfId="76" priority="32" operator="containsText" text="Not Met">
      <formula>NOT(ISERROR(SEARCH("Not Met",I102)))</formula>
    </cfRule>
  </conditionalFormatting>
  <conditionalFormatting sqref="I102">
    <cfRule type="containsText" dxfId="75" priority="31" operator="containsText" text="NA">
      <formula>NOT(ISERROR(SEARCH("NA",I102)))</formula>
    </cfRule>
  </conditionalFormatting>
  <conditionalFormatting sqref="I105">
    <cfRule type="containsText" dxfId="74" priority="29" operator="containsText" text="Not Met">
      <formula>NOT(ISERROR(SEARCH("Not Met",I105)))</formula>
    </cfRule>
  </conditionalFormatting>
  <conditionalFormatting sqref="I105">
    <cfRule type="containsText" dxfId="73" priority="28" operator="containsText" text="NA">
      <formula>NOT(ISERROR(SEARCH("NA",I105)))</formula>
    </cfRule>
  </conditionalFormatting>
  <conditionalFormatting sqref="I166">
    <cfRule type="containsText" dxfId="72" priority="26" operator="containsText" text="Not Met">
      <formula>NOT(ISERROR(SEARCH("Not Met",I166)))</formula>
    </cfRule>
  </conditionalFormatting>
  <conditionalFormatting sqref="I166">
    <cfRule type="containsText" dxfId="71" priority="25" operator="containsText" text="NA">
      <formula>NOT(ISERROR(SEARCH("NA",I166)))</formula>
    </cfRule>
  </conditionalFormatting>
  <conditionalFormatting sqref="I171">
    <cfRule type="containsText" dxfId="70" priority="23" operator="containsText" text="Not Met">
      <formula>NOT(ISERROR(SEARCH("Not Met",I171)))</formula>
    </cfRule>
  </conditionalFormatting>
  <conditionalFormatting sqref="I171">
    <cfRule type="containsText" dxfId="69" priority="22" operator="containsText" text="NA">
      <formula>NOT(ISERROR(SEARCH("NA",I171)))</formula>
    </cfRule>
  </conditionalFormatting>
  <conditionalFormatting sqref="I175">
    <cfRule type="containsText" dxfId="68" priority="20" operator="containsText" text="Not Met">
      <formula>NOT(ISERROR(SEARCH("Not Met",I175)))</formula>
    </cfRule>
  </conditionalFormatting>
  <conditionalFormatting sqref="I175">
    <cfRule type="containsText" dxfId="67" priority="19" operator="containsText" text="NA">
      <formula>NOT(ISERROR(SEARCH("NA",I175)))</formula>
    </cfRule>
  </conditionalFormatting>
  <conditionalFormatting sqref="I197">
    <cfRule type="containsText" dxfId="66" priority="1" operator="containsText" text="NA">
      <formula>NOT(ISERROR(SEARCH("NA",I197)))</formula>
    </cfRule>
  </conditionalFormatting>
  <conditionalFormatting sqref="I11">
    <cfRule type="containsText" dxfId="65" priority="17" operator="containsText" text="Not Met">
      <formula>NOT(ISERROR(SEARCH("Not Met",I11)))</formula>
    </cfRule>
  </conditionalFormatting>
  <conditionalFormatting sqref="I11">
    <cfRule type="containsText" dxfId="64" priority="16" operator="containsText" text="NA">
      <formula>NOT(ISERROR(SEARCH("NA",I11)))</formula>
    </cfRule>
  </conditionalFormatting>
  <conditionalFormatting sqref="I15">
    <cfRule type="containsText" dxfId="63" priority="14" operator="containsText" text="Not Met">
      <formula>NOT(ISERROR(SEARCH("Not Met",I15)))</formula>
    </cfRule>
  </conditionalFormatting>
  <conditionalFormatting sqref="I15">
    <cfRule type="containsText" dxfId="62" priority="13" operator="containsText" text="NA">
      <formula>NOT(ISERROR(SEARCH("NA",I15)))</formula>
    </cfRule>
  </conditionalFormatting>
  <conditionalFormatting sqref="I184">
    <cfRule type="containsText" dxfId="61" priority="11" operator="containsText" text="Not Met">
      <formula>NOT(ISERROR(SEARCH("Not Met",I184)))</formula>
    </cfRule>
  </conditionalFormatting>
  <conditionalFormatting sqref="I184">
    <cfRule type="containsText" dxfId="60" priority="10" operator="containsText" text="NA">
      <formula>NOT(ISERROR(SEARCH("NA",I184)))</formula>
    </cfRule>
  </conditionalFormatting>
  <conditionalFormatting sqref="I189">
    <cfRule type="containsText" dxfId="59" priority="8" operator="containsText" text="Not Met">
      <formula>NOT(ISERROR(SEARCH("Not Met",I189)))</formula>
    </cfRule>
  </conditionalFormatting>
  <conditionalFormatting sqref="I189">
    <cfRule type="containsText" dxfId="58" priority="7" operator="containsText" text="NA">
      <formula>NOT(ISERROR(SEARCH("NA",I189)))</formula>
    </cfRule>
  </conditionalFormatting>
  <conditionalFormatting sqref="I193">
    <cfRule type="containsText" dxfId="57" priority="5" operator="containsText" text="Not Met">
      <formula>NOT(ISERROR(SEARCH("Not Met",I193)))</formula>
    </cfRule>
  </conditionalFormatting>
  <conditionalFormatting sqref="I193">
    <cfRule type="containsText" dxfId="56" priority="4" operator="containsText" text="NA">
      <formula>NOT(ISERROR(SEARCH("NA",I193)))</formula>
    </cfRule>
  </conditionalFormatting>
  <conditionalFormatting sqref="I197">
    <cfRule type="containsText" dxfId="55" priority="2" operator="containsText" text="Not Met">
      <formula>NOT(ISERROR(SEARCH("Not Met",I197)))</formula>
    </cfRule>
  </conditionalFormatting>
  <dataValidations count="1">
    <dataValidation type="list" allowBlank="1" showInputMessage="1" showErrorMessage="1" sqref="O3" xr:uid="{00000000-0002-0000-0100-000000000000}">
      <formula1>$A$1:$A$207</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65" operator="containsText" id="{ED243608-C786-4FDA-BFAA-A328696DDD6D}">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62" operator="containsText" id="{15F7D20D-CB1D-427C-86A2-16917287E0E1}">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59" operator="containsText" id="{938E5483-96A9-4E53-B02C-9FC2F8369B42}">
            <xm:f>NOT(ISERROR(SEARCH("Met",I118)))</xm:f>
            <xm:f>"Met"</xm:f>
            <x14:dxf>
              <font>
                <b/>
                <i val="0"/>
                <strike val="0"/>
                <color theme="9" tint="-0.499984740745262"/>
              </font>
            </x14:dxf>
          </x14:cfRule>
          <xm:sqref>I118</xm:sqref>
        </x14:conditionalFormatting>
        <x14:conditionalFormatting xmlns:xm="http://schemas.microsoft.com/office/excel/2006/main">
          <x14:cfRule type="containsText" priority="156" operator="containsText" id="{825CA187-F981-4F99-A300-476BBCA0AACA}">
            <xm:f>NOT(ISERROR(SEARCH("Met",I121)))</xm:f>
            <xm:f>"Met"</xm:f>
            <x14:dxf>
              <font>
                <b/>
                <i val="0"/>
                <strike val="0"/>
                <color theme="9" tint="-0.499984740745262"/>
              </font>
            </x14:dxf>
          </x14:cfRule>
          <xm:sqref>I121</xm:sqref>
        </x14:conditionalFormatting>
        <x14:conditionalFormatting xmlns:xm="http://schemas.microsoft.com/office/excel/2006/main">
          <x14:cfRule type="containsText" priority="153" operator="containsText" id="{50C3B985-3C77-41E5-99E7-FB34A502C32B}">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50" operator="containsText" id="{1EB915F1-5772-4E35-93B1-91153D725819}">
            <xm:f>NOT(ISERROR(SEARCH("Met",I127)))</xm:f>
            <xm:f>"Met"</xm:f>
            <x14:dxf>
              <font>
                <b/>
                <i val="0"/>
                <strike val="0"/>
                <color theme="9" tint="-0.499984740745262"/>
              </font>
            </x14:dxf>
          </x14:cfRule>
          <xm:sqref>I127</xm:sqref>
        </x14:conditionalFormatting>
        <x14:conditionalFormatting xmlns:xm="http://schemas.microsoft.com/office/excel/2006/main">
          <x14:cfRule type="containsText" priority="147" operator="containsText" id="{696F6BC3-2F02-4C0F-8495-763526B66AF9}">
            <xm:f>NOT(ISERROR(SEARCH("Met",I130)))</xm:f>
            <xm:f>"Met"</xm:f>
            <x14:dxf>
              <font>
                <b/>
                <i val="0"/>
                <strike val="0"/>
                <color theme="9" tint="-0.499984740745262"/>
              </font>
            </x14:dxf>
          </x14:cfRule>
          <xm:sqref>I130</xm:sqref>
        </x14:conditionalFormatting>
        <x14:conditionalFormatting xmlns:xm="http://schemas.microsoft.com/office/excel/2006/main">
          <x14:cfRule type="containsText" priority="144" operator="containsText" id="{C8E4ABD9-AA7A-4129-BFEF-9C64E6756304}">
            <xm:f>NOT(ISERROR(SEARCH("Met",I133)))</xm:f>
            <xm:f>"Met"</xm:f>
            <x14:dxf>
              <font>
                <b/>
                <i val="0"/>
                <strike val="0"/>
                <color theme="9" tint="-0.499984740745262"/>
              </font>
            </x14:dxf>
          </x14:cfRule>
          <xm:sqref>I133</xm:sqref>
        </x14:conditionalFormatting>
        <x14:conditionalFormatting xmlns:xm="http://schemas.microsoft.com/office/excel/2006/main">
          <x14:cfRule type="containsText" priority="141" operator="containsText" id="{F7DE8E64-047D-49D7-AE0A-1C0FBC0D3E8E}">
            <xm:f>NOT(ISERROR(SEARCH("Met",I138)))</xm:f>
            <xm:f>"Met"</xm:f>
            <x14:dxf>
              <font>
                <b/>
                <i val="0"/>
                <strike val="0"/>
                <color theme="9" tint="-0.499984740745262"/>
              </font>
            </x14:dxf>
          </x14:cfRule>
          <xm:sqref>I138</xm:sqref>
        </x14:conditionalFormatting>
        <x14:conditionalFormatting xmlns:xm="http://schemas.microsoft.com/office/excel/2006/main">
          <x14:cfRule type="containsText" priority="138" operator="containsText" id="{5A994E85-237E-4979-A0BA-8E1AB8A6B73A}">
            <xm:f>NOT(ISERROR(SEARCH("Met",I142)))</xm:f>
            <xm:f>"Met"</xm:f>
            <x14:dxf>
              <font>
                <b/>
                <i val="0"/>
                <strike val="0"/>
                <color theme="9" tint="-0.499984740745262"/>
              </font>
            </x14:dxf>
          </x14:cfRule>
          <xm:sqref>I142</xm:sqref>
        </x14:conditionalFormatting>
        <x14:conditionalFormatting xmlns:xm="http://schemas.microsoft.com/office/excel/2006/main">
          <x14:cfRule type="containsText" priority="135" operator="containsText" id="{51FEBFCB-A925-46BE-8D7B-F8A50E4FE7DB}">
            <xm:f>NOT(ISERROR(SEARCH("Met",I146)))</xm:f>
            <xm:f>"Met"</xm:f>
            <x14:dxf>
              <font>
                <b/>
                <i val="0"/>
                <strike val="0"/>
                <color theme="9" tint="-0.499984740745262"/>
              </font>
            </x14:dxf>
          </x14:cfRule>
          <xm:sqref>I146</xm:sqref>
        </x14:conditionalFormatting>
        <x14:conditionalFormatting xmlns:xm="http://schemas.microsoft.com/office/excel/2006/main">
          <x14:cfRule type="containsText" priority="132" operator="containsText" id="{71E0D26F-A0B7-4980-B76F-E369D86A3761}">
            <xm:f>NOT(ISERROR(SEARCH("Met",I150)))</xm:f>
            <xm:f>"Met"</xm:f>
            <x14:dxf>
              <font>
                <b/>
                <i val="0"/>
                <strike val="0"/>
                <color theme="9" tint="-0.499984740745262"/>
              </font>
            </x14:dxf>
          </x14:cfRule>
          <xm:sqref>I150</xm:sqref>
        </x14:conditionalFormatting>
        <x14:conditionalFormatting xmlns:xm="http://schemas.microsoft.com/office/excel/2006/main">
          <x14:cfRule type="containsText" priority="129" operator="containsText" id="{57DE7691-FC33-4E04-9B71-81454083638F}">
            <xm:f>NOT(ISERROR(SEARCH("Met",I154)))</xm:f>
            <xm:f>"Met"</xm:f>
            <x14:dxf>
              <font>
                <b/>
                <i val="0"/>
                <strike val="0"/>
                <color theme="9" tint="-0.499984740745262"/>
              </font>
            </x14:dxf>
          </x14:cfRule>
          <xm:sqref>I154</xm:sqref>
        </x14:conditionalFormatting>
        <x14:conditionalFormatting xmlns:xm="http://schemas.microsoft.com/office/excel/2006/main">
          <x14:cfRule type="containsText" priority="126" operator="containsText" id="{DF61779D-C910-43C2-BDFF-1841F11580FE}">
            <xm:f>NOT(ISERROR(SEARCH("Met",I158)))</xm:f>
            <xm:f>"Met"</xm:f>
            <x14:dxf>
              <font>
                <b/>
                <i val="0"/>
                <strike val="0"/>
                <color theme="9" tint="-0.499984740745262"/>
              </font>
            </x14:dxf>
          </x14:cfRule>
          <xm:sqref>I158</xm:sqref>
        </x14:conditionalFormatting>
        <x14:conditionalFormatting xmlns:xm="http://schemas.microsoft.com/office/excel/2006/main">
          <x14:cfRule type="containsText" priority="123" operator="containsText" id="{B52F5BF2-2AC9-4596-8A98-CC776158DD28}">
            <xm:f>NOT(ISERROR(SEARCH("Met",I180)))</xm:f>
            <xm:f>"Met"</xm:f>
            <x14:dxf>
              <font>
                <b/>
                <i val="0"/>
                <strike val="0"/>
                <color theme="9" tint="-0.499984740745262"/>
              </font>
            </x14:dxf>
          </x14:cfRule>
          <xm:sqref>I180</xm:sqref>
        </x14:conditionalFormatting>
        <x14:conditionalFormatting xmlns:xm="http://schemas.microsoft.com/office/excel/2006/main">
          <x14:cfRule type="containsText" priority="111" operator="containsText" id="{00D8AC40-3859-4FEB-AD37-6C703F0179F5}">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24" operator="containsText" id="{53C2104C-358B-4F93-9CF9-5D9C6C0A06EE}">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21" operator="containsText" id="{A39497DE-FA32-4038-9B9C-79AB68515CB7}">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NOT(ISERROR(SEARCH("Met",I184)))</xm:f>
            <xm:f>"Met"</xm:f>
            <x14:dxf>
              <font>
                <b/>
                <i val="0"/>
                <strike val="0"/>
                <color theme="9" tint="-0.499984740745262"/>
              </font>
            </x14:dxf>
          </x14:cfRule>
          <xm:sqref>I184</xm:sqref>
        </x14:conditionalFormatting>
        <x14:conditionalFormatting xmlns:xm="http://schemas.microsoft.com/office/excel/2006/main">
          <x14:cfRule type="containsText" priority="9" operator="containsText" id="{37877C40-F3EC-4BE4-A076-EEC47AD19574}">
            <xm:f>NOT(ISERROR(SEARCH("Met",I189)))</xm:f>
            <xm:f>"Met"</xm:f>
            <x14:dxf>
              <font>
                <b/>
                <i val="0"/>
                <strike val="0"/>
                <color theme="9" tint="-0.499984740745262"/>
              </font>
            </x14:dxf>
          </x14:cfRule>
          <xm:sqref>I189</xm:sqref>
        </x14:conditionalFormatting>
        <x14:conditionalFormatting xmlns:xm="http://schemas.microsoft.com/office/excel/2006/main">
          <x14:cfRule type="containsText" priority="6" operator="containsText" id="{AB469DD7-BC0F-4DAC-9091-44C4C8D67D85}">
            <xm:f>NOT(ISERROR(SEARCH("Met",I193)))</xm:f>
            <xm:f>"Met"</xm:f>
            <x14:dxf>
              <font>
                <b/>
                <i val="0"/>
                <strike val="0"/>
                <color theme="9" tint="-0.499984740745262"/>
              </font>
            </x14:dxf>
          </x14:cfRule>
          <xm:sqref>I193</xm:sqref>
        </x14:conditionalFormatting>
        <x14:conditionalFormatting xmlns:xm="http://schemas.microsoft.com/office/excel/2006/main">
          <x14:cfRule type="containsText" priority="3" operator="containsText" id="{83B29AA3-C57E-483B-AEF4-EFB940110E1F}">
            <xm:f>NOT(ISERROR(SEARCH("Met",I197)))</xm:f>
            <xm:f>"Met"</xm:f>
            <x14:dxf>
              <font>
                <b/>
                <i val="0"/>
                <strike val="0"/>
                <color theme="9" tint="-0.499984740745262"/>
              </font>
            </x14:dxf>
          </x14:cfRule>
          <xm:sqref>I197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91"/>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482</v>
      </c>
      <c r="B3" s="36"/>
      <c r="C3" s="36"/>
      <c r="D3" s="36"/>
      <c r="E3" s="36"/>
      <c r="F3" s="36"/>
      <c r="G3" s="36"/>
      <c r="H3" s="10"/>
      <c r="I3" s="10"/>
      <c r="J3" s="10"/>
    </row>
    <row r="4" spans="1:10" x14ac:dyDescent="0.2">
      <c r="A4" s="9" t="str">
        <f>VLOOKUP(A3,'Old Data'!A1:CM88,2,FALSE)</f>
        <v>1919 Blanding St</v>
      </c>
    </row>
    <row r="5" spans="1:10" x14ac:dyDescent="0.2">
      <c r="A5" s="9" t="str">
        <f>VLOOKUP(A3,'Old Data'!A1:CM88,3,FALSE)</f>
        <v>Columbia</v>
      </c>
      <c r="C5" s="12" t="str">
        <f>VLOOKUP(A3,'Old Data'!A1:CM88,4,FALSE)</f>
        <v>SC</v>
      </c>
      <c r="D5" s="12">
        <f>VLOOKUP(A3,'Old Data'!A1:CM88,5,FALSE)</f>
        <v>29201</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329</v>
      </c>
      <c r="B8" s="31"/>
      <c r="C8" s="31"/>
      <c r="D8" s="31"/>
      <c r="E8" s="31"/>
      <c r="F8" s="31"/>
      <c r="G8" s="31"/>
      <c r="H8" s="31"/>
      <c r="I8" s="31"/>
      <c r="J8" s="31"/>
    </row>
    <row r="9" spans="1:10" ht="19.5" customHeight="1" x14ac:dyDescent="0.2">
      <c r="A9" s="68" t="s">
        <v>597</v>
      </c>
      <c r="B9" s="69"/>
      <c r="C9" s="44"/>
      <c r="D9" s="70"/>
      <c r="E9" s="71"/>
      <c r="F9" s="70"/>
      <c r="G9" s="71"/>
      <c r="H9" s="70"/>
      <c r="I9" s="71"/>
      <c r="J9" s="70"/>
    </row>
    <row r="10" spans="1:10" s="14" customFormat="1" x14ac:dyDescent="0.25">
      <c r="A10" s="79" t="s">
        <v>0</v>
      </c>
      <c r="B10" s="91">
        <f>VLOOKUP(A3,'Old Data'!A1:CM88,6,FALSE)</f>
        <v>3</v>
      </c>
      <c r="C10" s="92" t="str">
        <f>IF(B10=0,"The LEA submitted data late five or more times during the reporting year and five or more data",
IF(B10=1,"The LEA submitted late data no more than four times during the reporting year and no more than",
IF(B10=2,"The LEA submitted late data submissions no more than two times during the reporting year and",
IF(B10=3,"All data submissions are submitted on time (within the prescribed data collection windows) and",""))))</f>
        <v>All data submissions are submitted on time (within the prescribed data collection windows) and</v>
      </c>
      <c r="D10" s="20"/>
      <c r="E10" s="20"/>
      <c r="F10" s="20"/>
      <c r="G10" s="20"/>
      <c r="H10" s="20"/>
      <c r="I10" s="20"/>
      <c r="J10" s="20"/>
    </row>
    <row r="11" spans="1:10" s="14" customFormat="1" x14ac:dyDescent="0.25">
      <c r="A11" s="79"/>
      <c r="B11" s="91"/>
      <c r="C11" s="92" t="str">
        <f>IF(B10=0,"submissions contained LEA errors",
IF(B10=1,"four data submissions contained LEA errors",
IF(B10=2,"no more than two data submissions contained LEA errors",
IF(B10=3,"no more than one data submission contained LEA (not system) errors",""))))</f>
        <v>no more than one data submission contained LEA (not system) errors</v>
      </c>
      <c r="D11" s="20"/>
      <c r="E11" s="20"/>
      <c r="F11" s="20"/>
      <c r="G11" s="20"/>
      <c r="H11" s="20"/>
      <c r="I11" s="20"/>
      <c r="J11" s="20"/>
    </row>
    <row r="12" spans="1:10" s="14" customFormat="1" ht="20.100000000000001" customHeight="1" x14ac:dyDescent="0.15">
      <c r="A12" s="68" t="s">
        <v>598</v>
      </c>
      <c r="B12" s="73"/>
      <c r="C12" s="73"/>
      <c r="D12" s="70"/>
      <c r="E12" s="71"/>
      <c r="F12" s="70"/>
      <c r="G12" s="71"/>
      <c r="H12" s="70"/>
      <c r="I12" s="71"/>
      <c r="J12" s="70"/>
    </row>
    <row r="13" spans="1:10" s="14" customFormat="1" ht="23.45" customHeight="1" x14ac:dyDescent="0.25">
      <c r="A13" s="80" t="s">
        <v>0</v>
      </c>
      <c r="B13" s="115">
        <f>VLOOKUP(A3,'Old Data'!A1:CM88,7,FALSE)</f>
        <v>3</v>
      </c>
      <c r="C13" s="116" t="str">
        <f>IF(B13=0,"High risk with systemic fiscal findings",
IF(B13=1,"High risk based on fiscal risk factors",
IF(B13=2,"Moderate risk based on fiscal risk factors",
IF(B13=3,"Low risk based on fiscal risk factors",""))))</f>
        <v>Low risk based on fiscal risk factors</v>
      </c>
      <c r="D13" s="77"/>
      <c r="E13" s="77"/>
      <c r="F13" s="77"/>
      <c r="G13" s="77"/>
      <c r="H13" s="77"/>
      <c r="I13" s="77"/>
      <c r="J13" s="77"/>
    </row>
    <row r="14" spans="1:10" s="14" customFormat="1" ht="20.100000000000001" customHeight="1" x14ac:dyDescent="0.15">
      <c r="A14" s="90" t="s">
        <v>495</v>
      </c>
      <c r="B14" s="19"/>
      <c r="C14" s="19"/>
      <c r="D14" s="17"/>
      <c r="E14" s="18"/>
      <c r="F14" s="17"/>
      <c r="G14" s="18"/>
      <c r="H14" s="17"/>
      <c r="I14" s="18"/>
      <c r="J14" s="17"/>
    </row>
    <row r="15" spans="1:10" s="14" customFormat="1" ht="23.45" customHeight="1" x14ac:dyDescent="0.25">
      <c r="A15" s="80" t="s">
        <v>0</v>
      </c>
      <c r="B15" s="115">
        <f>VLOOKUP(A3,'Old Data'!A1:CM88,8,FALSE)</f>
        <v>2</v>
      </c>
      <c r="C15" s="116" t="str">
        <f>IF(B15=0,"Indicator 13 corrections are pending for over a year",
IF(B15=1,"All Indicator 13 corrections made and verified within a year of findings",
IF(B15=2,"All Indicator 13 corrections made and verified within designated review timeframe",
IF(B15=3,"100% compliant based on initial Indicator 13 submission",""))))</f>
        <v>All Indicator 13 corrections made and verified within designated review timeframe</v>
      </c>
      <c r="D15" s="77"/>
      <c r="E15" s="77"/>
      <c r="F15" s="77"/>
      <c r="G15" s="77"/>
      <c r="H15" s="77"/>
      <c r="I15" s="77"/>
      <c r="J15" s="77"/>
    </row>
    <row r="16" spans="1:10" s="14" customFormat="1" ht="20.100000000000001" customHeight="1" x14ac:dyDescent="0.15">
      <c r="A16" s="90" t="s">
        <v>496</v>
      </c>
      <c r="B16" s="19"/>
      <c r="C16" s="19"/>
      <c r="D16" s="17"/>
      <c r="E16" s="18"/>
      <c r="F16" s="17"/>
      <c r="G16" s="18"/>
      <c r="H16" s="17"/>
      <c r="I16" s="18"/>
      <c r="J16" s="17"/>
    </row>
    <row r="17" spans="1:10" s="14" customFormat="1" x14ac:dyDescent="0.25">
      <c r="A17" s="81" t="s">
        <v>0</v>
      </c>
      <c r="B17" s="117">
        <f>VLOOKUP(A3,'Old Data'!A1:CM88,9,FALSE)</f>
        <v>3</v>
      </c>
      <c r="C17" s="118" t="str">
        <f>IF(B17=0,"Three areas that were not corrected within a year or two or more areas that were not corrected",
IF(B17=1,"Two areas that were not corrected within a year or one area not corrected within two years",
IF(B17=2,"One area that was not corrected within a year",
IF(B17=3,"No findings (finance, program, data, or compliance complaint) pending for over a year",""))))</f>
        <v>No findings (finance, program, data, or compliance complaint) pending for over a year</v>
      </c>
      <c r="D17" s="20"/>
      <c r="E17" s="20"/>
      <c r="F17" s="20"/>
      <c r="G17" s="20"/>
      <c r="H17" s="20"/>
      <c r="I17" s="20"/>
      <c r="J17" s="20"/>
    </row>
    <row r="18" spans="1:10" s="14" customFormat="1" x14ac:dyDescent="0.25">
      <c r="A18" s="81"/>
      <c r="B18" s="82"/>
      <c r="C18" s="118" t="str">
        <f>IF(B17=0,"within two years","")</f>
        <v/>
      </c>
      <c r="D18" s="20"/>
      <c r="E18" s="20"/>
      <c r="F18" s="20"/>
      <c r="G18" s="20"/>
      <c r="H18" s="20"/>
      <c r="I18" s="20"/>
      <c r="J18" s="20"/>
    </row>
    <row r="19" spans="1:10" s="14" customFormat="1" ht="20.100000000000001" customHeight="1" x14ac:dyDescent="0.15">
      <c r="A19" s="68" t="s">
        <v>599</v>
      </c>
      <c r="B19" s="73"/>
      <c r="C19" s="73"/>
      <c r="D19" s="70"/>
      <c r="E19" s="71"/>
      <c r="F19" s="70"/>
      <c r="G19" s="71"/>
      <c r="H19" s="70"/>
      <c r="I19" s="71"/>
      <c r="J19" s="70"/>
    </row>
    <row r="20" spans="1:10" s="14" customFormat="1" ht="23.45" customHeight="1" x14ac:dyDescent="0.25">
      <c r="A20" s="81" t="s">
        <v>0</v>
      </c>
      <c r="B20" s="117">
        <f>VLOOKUP(A3,'Old Data'!A1:CM88,10,FALSE)</f>
        <v>2</v>
      </c>
      <c r="C20" s="118" t="str">
        <f>IF(B20=0,"Below 85% combined compliance rate for Indicators 11 and 12",
IF(B20=1,"85% or above combined compliance rate for Indicators 11 and 12",
IF(B20=2,"95% or above combined compliance rate for Indicators 11 and 12 ",
IF(B20=3,"100% compliance for both Indicator 11 and Indicator 12",""))))</f>
        <v xml:space="preserve">95% or above combined compliance rate for Indicators 11 and 12 </v>
      </c>
      <c r="D20" s="20"/>
      <c r="E20" s="20"/>
      <c r="F20" s="20"/>
      <c r="G20" s="20"/>
      <c r="H20" s="20"/>
      <c r="I20" s="20"/>
      <c r="J20" s="20"/>
    </row>
    <row r="21" spans="1:10" s="14" customFormat="1" ht="20.100000000000001" customHeight="1" x14ac:dyDescent="0.15">
      <c r="A21" s="68" t="s">
        <v>600</v>
      </c>
      <c r="B21" s="73"/>
      <c r="C21" s="73"/>
      <c r="D21" s="70"/>
      <c r="E21" s="71"/>
      <c r="F21" s="70"/>
      <c r="G21" s="71"/>
      <c r="H21" s="70"/>
      <c r="I21" s="71"/>
      <c r="J21" s="70"/>
    </row>
    <row r="22" spans="1:10" s="14" customFormat="1" ht="23.45" customHeight="1" x14ac:dyDescent="0.25">
      <c r="A22" s="81" t="s">
        <v>0</v>
      </c>
      <c r="B22" s="117">
        <f>VLOOKUP(A3,'Old Data'!A1:CM88,11,FALSE)</f>
        <v>2</v>
      </c>
      <c r="C22" s="118" t="str">
        <f>IF(B22=0,"Indicator 4b corrections pending for over a year",
IF(B22=1,"All Indicator 4b corrections made and verified within a year of findings",
IF(B22=2,"All Indicator 4b corrections made and verified within review timeframe",
IF(B22=3,"100% compliance after self-review submissions",""))))</f>
        <v>All Indicator 4b corrections made and verified within review timeframe</v>
      </c>
      <c r="D22" s="20"/>
      <c r="E22" s="20"/>
      <c r="F22" s="20"/>
      <c r="G22" s="20"/>
      <c r="H22" s="20"/>
      <c r="I22" s="20"/>
      <c r="J22" s="20"/>
    </row>
    <row r="23" spans="1:10" s="14" customFormat="1" ht="20.100000000000001" customHeight="1" x14ac:dyDescent="0.15">
      <c r="A23" s="68" t="s">
        <v>601</v>
      </c>
      <c r="B23" s="73"/>
      <c r="C23" s="73"/>
      <c r="D23" s="70"/>
      <c r="E23" s="71"/>
      <c r="F23" s="70"/>
      <c r="G23" s="71"/>
      <c r="H23" s="70"/>
      <c r="I23" s="71"/>
      <c r="J23" s="70"/>
    </row>
    <row r="24" spans="1:10" s="14" customFormat="1" ht="23.45" customHeight="1" x14ac:dyDescent="0.25">
      <c r="A24" s="81" t="s">
        <v>0</v>
      </c>
      <c r="B24" s="117">
        <f>VLOOKUP(A3,'Old Data'!A1:CM88,12,FALSE)</f>
        <v>2</v>
      </c>
      <c r="C24" s="119" t="str">
        <f>IF(B24=0,"Indicator 9/10 corrections pending for over a year",
IF(B24=1,"All Indicator 9/10 corrections made and verified within a year of findings",
IF(B24=2,"All Indicator 9/10 corrections made and verified within review timeframe ",
IF(B24=3,"100% compliance after self-review submissions",""))))</f>
        <v xml:space="preserve">All Indicator 9/10 corrections made and verified within review timeframe </v>
      </c>
      <c r="D24" s="78"/>
      <c r="E24" s="78"/>
      <c r="F24" s="78"/>
      <c r="G24" s="78"/>
      <c r="H24" s="78"/>
      <c r="I24" s="78"/>
      <c r="J24" s="78"/>
    </row>
    <row r="25" spans="1:10" ht="21.95" customHeight="1" x14ac:dyDescent="0.2">
      <c r="A25" s="48" t="s">
        <v>16</v>
      </c>
      <c r="B25" s="41">
        <f>SUM(B10,B13,B15,B17,B20,B22,B24)</f>
        <v>17</v>
      </c>
      <c r="C25" s="26"/>
      <c r="D25" s="26"/>
      <c r="E25" s="26"/>
      <c r="F25" s="26"/>
      <c r="G25" s="26"/>
      <c r="H25" s="26"/>
      <c r="I25" s="26"/>
      <c r="J25" s="26"/>
    </row>
    <row r="26" spans="1:10" s="14" customFormat="1" ht="20.100000000000001" customHeight="1" x14ac:dyDescent="0.25">
      <c r="A26" s="31" t="s">
        <v>4</v>
      </c>
      <c r="B26" s="31"/>
      <c r="C26" s="31"/>
      <c r="D26" s="31"/>
      <c r="E26" s="31"/>
      <c r="F26" s="31"/>
      <c r="G26" s="31"/>
      <c r="H26" s="31"/>
      <c r="I26" s="31"/>
      <c r="J26" s="31"/>
    </row>
    <row r="27" spans="1:10" ht="12" x14ac:dyDescent="0.2">
      <c r="A27" s="68" t="s">
        <v>322</v>
      </c>
      <c r="B27" s="46"/>
      <c r="C27" s="47"/>
      <c r="D27" s="45"/>
      <c r="E27" s="45"/>
      <c r="F27" s="44"/>
      <c r="G27" s="44"/>
      <c r="H27" s="44"/>
      <c r="I27" s="44"/>
      <c r="J27" s="44"/>
    </row>
    <row r="28" spans="1:10" x14ac:dyDescent="0.2">
      <c r="A28" s="7" t="s">
        <v>0</v>
      </c>
      <c r="B28" s="91">
        <f>VLOOKUP(A3,'Old Data'!A1:CM88,13,FALSE)</f>
        <v>2</v>
      </c>
      <c r="C28" s="92" t="str">
        <f>IF(B28=0,"Does not meet prior year’s state performance and did not improve",
IF(B28=1,"Does not meet prior year’s state performance but improved since last year",
IF(B28=2,"Meets or exceeds prior year’s state performance",
IF(B28=3,"Meets or exceeds current state target",""))))</f>
        <v>Meets or exceeds prior year’s state performance</v>
      </c>
      <c r="D28" s="20"/>
      <c r="E28" s="20"/>
      <c r="F28" s="22"/>
      <c r="G28" s="20"/>
      <c r="H28" s="20"/>
      <c r="I28" s="20"/>
    </row>
    <row r="29" spans="1:10" ht="20.100000000000001" customHeight="1" x14ac:dyDescent="0.2">
      <c r="A29" s="38"/>
      <c r="B29" s="15"/>
      <c r="C29" s="16"/>
      <c r="D29" s="21"/>
      <c r="E29" s="21"/>
      <c r="F29" s="16"/>
      <c r="G29" s="16"/>
      <c r="H29" s="16"/>
      <c r="I29" s="16"/>
      <c r="J29" s="16"/>
    </row>
    <row r="30" spans="1:10" ht="11.25" customHeight="1" x14ac:dyDescent="0.2">
      <c r="A30" s="19"/>
      <c r="B30" s="43" t="s">
        <v>316</v>
      </c>
      <c r="C30" s="56">
        <v>0.60389999999999999</v>
      </c>
      <c r="E30" s="23"/>
      <c r="F30" s="23"/>
      <c r="G30" s="23"/>
      <c r="H30" s="23"/>
      <c r="I30" s="23"/>
      <c r="J30" s="23"/>
    </row>
    <row r="31" spans="1:10" ht="11.25" customHeight="1" x14ac:dyDescent="0.2">
      <c r="A31" s="19"/>
      <c r="B31" s="43" t="s">
        <v>467</v>
      </c>
      <c r="C31" s="56">
        <v>0.51619999999999999</v>
      </c>
      <c r="E31" s="23"/>
      <c r="F31" s="23"/>
      <c r="G31" s="23"/>
      <c r="H31" s="23"/>
      <c r="I31" s="23"/>
      <c r="J31" s="23"/>
    </row>
    <row r="32" spans="1:10" ht="11.25" customHeight="1" x14ac:dyDescent="0.2">
      <c r="A32" s="19"/>
      <c r="B32" s="43" t="s">
        <v>299</v>
      </c>
      <c r="C32" s="56">
        <f>VLOOKUP(A3,'Old Data'!A1:CM88,14,FALSE)</f>
        <v>0.51619999999999999</v>
      </c>
      <c r="E32" s="23"/>
      <c r="F32" s="23"/>
      <c r="G32" s="23"/>
      <c r="H32" s="23"/>
      <c r="I32" s="23"/>
      <c r="J32" s="23"/>
    </row>
    <row r="33" spans="1:10" ht="11.25" customHeight="1" x14ac:dyDescent="0.2">
      <c r="A33" s="19"/>
      <c r="B33" s="43" t="s">
        <v>466</v>
      </c>
      <c r="C33" s="56">
        <f>VLOOKUP(A3,'Old Data'!A1:CM88,15,FALSE)</f>
        <v>0.55549999999999999</v>
      </c>
      <c r="E33" s="23"/>
      <c r="F33" s="23"/>
      <c r="G33" s="23"/>
      <c r="H33" s="23"/>
      <c r="I33" s="23"/>
      <c r="J33" s="23"/>
    </row>
    <row r="34" spans="1:10" ht="11.25" customHeight="1" x14ac:dyDescent="0.2">
      <c r="A34" s="19"/>
      <c r="B34" s="19"/>
      <c r="C34" s="19"/>
      <c r="D34" s="19"/>
      <c r="E34" s="19"/>
      <c r="F34" s="19"/>
      <c r="G34" s="19"/>
      <c r="H34" s="19"/>
      <c r="I34" s="19"/>
      <c r="J34" s="19"/>
    </row>
    <row r="35" spans="1:10" ht="12" x14ac:dyDescent="0.2">
      <c r="A35" s="68" t="s">
        <v>323</v>
      </c>
      <c r="B35" s="46"/>
      <c r="C35" s="47"/>
      <c r="D35" s="45"/>
      <c r="E35" s="45"/>
      <c r="F35" s="44"/>
      <c r="G35" s="44"/>
      <c r="H35" s="44"/>
      <c r="I35" s="44"/>
      <c r="J35" s="44"/>
    </row>
    <row r="36" spans="1:10" x14ac:dyDescent="0.2">
      <c r="A36" s="7" t="s">
        <v>0</v>
      </c>
      <c r="B36" s="91">
        <f>VLOOKUP(A3,'Old Data'!A1:CM88,16,FALSE)</f>
        <v>2</v>
      </c>
      <c r="C36" s="92" t="str">
        <f>IF(B36=0,"Does not meet prior year’s state performance and did not improve",
IF(B36=1,"Does not meet prior year’s state performance but improved since last year",
IF(B36=2,"Meets or exceeds prior year’s state performance",
IF(B36=3,"Meets or exceeds current state target",""))))</f>
        <v>Meets or exceeds prior year’s state performance</v>
      </c>
      <c r="D36" s="20"/>
      <c r="E36" s="20"/>
      <c r="F36" s="22"/>
      <c r="G36" s="20"/>
      <c r="H36" s="20"/>
      <c r="I36" s="20"/>
    </row>
    <row r="37" spans="1:10" ht="20.100000000000001" customHeight="1" x14ac:dyDescent="0.2">
      <c r="A37" s="38"/>
      <c r="B37" s="15"/>
      <c r="C37" s="16"/>
      <c r="D37" s="21"/>
      <c r="E37" s="21"/>
      <c r="F37" s="16"/>
      <c r="G37" s="16"/>
      <c r="H37" s="16"/>
      <c r="I37" s="16"/>
      <c r="J37" s="16"/>
    </row>
    <row r="38" spans="1:10" ht="11.25" customHeight="1" x14ac:dyDescent="0.2">
      <c r="A38" s="19"/>
      <c r="B38" s="43" t="s">
        <v>316</v>
      </c>
      <c r="C38" s="56">
        <v>0.1462</v>
      </c>
      <c r="E38" s="23"/>
      <c r="F38" s="23"/>
      <c r="G38" s="23"/>
      <c r="H38" s="23"/>
      <c r="I38" s="23"/>
      <c r="J38" s="23"/>
    </row>
    <row r="39" spans="1:10" ht="11.25" customHeight="1" x14ac:dyDescent="0.2">
      <c r="A39" s="19"/>
      <c r="B39" s="43" t="s">
        <v>467</v>
      </c>
      <c r="C39" s="56">
        <v>0.1331</v>
      </c>
      <c r="E39" s="23"/>
      <c r="F39" s="23"/>
      <c r="G39" s="23"/>
      <c r="H39" s="23"/>
      <c r="I39" s="23"/>
      <c r="J39" s="23"/>
    </row>
    <row r="40" spans="1:10" ht="11.25" customHeight="1" x14ac:dyDescent="0.2">
      <c r="A40" s="19"/>
      <c r="B40" s="43" t="s">
        <v>299</v>
      </c>
      <c r="C40" s="56">
        <f>VLOOKUP(A3,'Old Data'!A1:CM88,17,FALSE)</f>
        <v>0.1242</v>
      </c>
      <c r="E40" s="23"/>
      <c r="F40" s="23"/>
      <c r="G40" s="23"/>
      <c r="H40" s="23"/>
      <c r="I40" s="23"/>
      <c r="J40" s="23"/>
    </row>
    <row r="41" spans="1:10" ht="11.25" customHeight="1" x14ac:dyDescent="0.2">
      <c r="A41" s="19"/>
      <c r="B41" s="43" t="s">
        <v>466</v>
      </c>
      <c r="C41" s="56">
        <f>VLOOKUP(A3,'Old Data'!A1:CM88,18,FALSE)</f>
        <v>0.1331</v>
      </c>
      <c r="E41" s="23"/>
      <c r="F41" s="23"/>
      <c r="G41" s="23"/>
      <c r="H41" s="23"/>
      <c r="I41" s="23"/>
      <c r="J41" s="23"/>
    </row>
    <row r="42" spans="1:10" ht="11.25" customHeight="1" x14ac:dyDescent="0.2">
      <c r="A42" s="19"/>
      <c r="B42" s="19"/>
      <c r="C42" s="19"/>
      <c r="D42" s="19"/>
      <c r="E42" s="19"/>
      <c r="F42" s="19"/>
      <c r="G42" s="19"/>
      <c r="H42" s="19"/>
      <c r="I42" s="19"/>
      <c r="J42" s="19"/>
    </row>
    <row r="43" spans="1:10" ht="12" x14ac:dyDescent="0.2">
      <c r="A43" s="68" t="s">
        <v>324</v>
      </c>
      <c r="B43" s="46"/>
      <c r="C43" s="47"/>
      <c r="D43" s="45"/>
      <c r="E43" s="45"/>
      <c r="F43" s="44"/>
      <c r="G43" s="44"/>
      <c r="H43" s="44"/>
      <c r="I43" s="44"/>
      <c r="J43" s="44"/>
    </row>
    <row r="44" spans="1:10" x14ac:dyDescent="0.2">
      <c r="A44" s="7" t="s">
        <v>0</v>
      </c>
      <c r="B44" s="91">
        <f>VLOOKUP(A3,'Old Data'!A1:CM88,19,FALSE)</f>
        <v>2</v>
      </c>
      <c r="C44" s="92" t="str">
        <f>IF(B44=0,"Does not meet prior year’s state performance and did not improve",
IF(B44=1,"Does not meet prior year’s state performance but improved since last year",
IF(B44=2,"Meets or exceeds prior year’s state performance",
IF(B44=3,"Meets or exceeds current state target",""))))</f>
        <v>Meets or exceeds prior year’s state performance</v>
      </c>
      <c r="D44" s="20"/>
      <c r="E44" s="20"/>
      <c r="F44" s="22"/>
      <c r="G44" s="20"/>
      <c r="H44" s="20"/>
      <c r="I44" s="20"/>
    </row>
    <row r="45" spans="1:10" ht="20.100000000000001" customHeight="1" x14ac:dyDescent="0.2">
      <c r="A45" s="38"/>
      <c r="B45" s="15"/>
      <c r="C45" s="16"/>
      <c r="D45" s="21"/>
      <c r="E45" s="21"/>
      <c r="F45" s="16"/>
      <c r="G45" s="16"/>
      <c r="H45" s="16"/>
      <c r="I45" s="16"/>
      <c r="J45" s="16"/>
    </row>
    <row r="46" spans="1:10" ht="11.25" customHeight="1" x14ac:dyDescent="0.2">
      <c r="A46" s="19"/>
      <c r="B46" s="43" t="s">
        <v>316</v>
      </c>
      <c r="C46" s="56">
        <v>0.13269999999999998</v>
      </c>
      <c r="E46" s="23"/>
      <c r="F46" s="23"/>
      <c r="G46" s="23"/>
      <c r="H46" s="23"/>
      <c r="I46" s="23"/>
      <c r="J46" s="23"/>
    </row>
    <row r="47" spans="1:10" ht="11.25" customHeight="1" x14ac:dyDescent="0.2">
      <c r="A47" s="19"/>
      <c r="B47" s="43" t="s">
        <v>467</v>
      </c>
      <c r="C47" s="56">
        <v>0.11210000000000001</v>
      </c>
      <c r="E47" s="23"/>
      <c r="F47" s="23"/>
      <c r="G47" s="23"/>
      <c r="H47" s="23"/>
      <c r="I47" s="23"/>
      <c r="J47" s="23"/>
    </row>
    <row r="48" spans="1:10" ht="11.25" customHeight="1" x14ac:dyDescent="0.2">
      <c r="A48" s="19"/>
      <c r="B48" s="43" t="s">
        <v>299</v>
      </c>
      <c r="C48" s="56">
        <f>VLOOKUP(A3,'Old Data'!A1:CM88,20,FALSE)</f>
        <v>0.1157</v>
      </c>
      <c r="E48" s="23"/>
      <c r="F48" s="23"/>
      <c r="G48" s="23"/>
      <c r="H48" s="23"/>
      <c r="I48" s="23"/>
      <c r="J48" s="23"/>
    </row>
    <row r="49" spans="1:10" ht="11.25" customHeight="1" x14ac:dyDescent="0.2">
      <c r="A49" s="19"/>
      <c r="B49" s="43" t="s">
        <v>466</v>
      </c>
      <c r="C49" s="56">
        <f>VLOOKUP(A3,'Old Data'!A1:CM88,21,FALSE)</f>
        <v>0.11210000000000001</v>
      </c>
      <c r="E49" s="23"/>
      <c r="F49" s="23"/>
      <c r="G49" s="23"/>
      <c r="H49" s="23"/>
      <c r="I49" s="23"/>
      <c r="J49" s="23"/>
    </row>
    <row r="50" spans="1:10" ht="11.25" customHeight="1" x14ac:dyDescent="0.2">
      <c r="A50" s="19"/>
      <c r="B50" s="19"/>
      <c r="C50" s="19"/>
      <c r="D50" s="19"/>
      <c r="E50" s="19"/>
      <c r="F50" s="19"/>
      <c r="G50" s="19"/>
      <c r="H50" s="19"/>
      <c r="I50" s="19"/>
      <c r="J50" s="19"/>
    </row>
    <row r="51" spans="1:10" ht="12" x14ac:dyDescent="0.2">
      <c r="A51" s="68" t="s">
        <v>325</v>
      </c>
      <c r="B51" s="46"/>
      <c r="C51" s="47"/>
      <c r="D51" s="45"/>
      <c r="E51" s="45"/>
      <c r="F51" s="44"/>
      <c r="G51" s="44"/>
      <c r="H51" s="44"/>
      <c r="I51" s="44"/>
      <c r="J51" s="44"/>
    </row>
    <row r="52" spans="1:10" x14ac:dyDescent="0.2">
      <c r="A52" s="7" t="s">
        <v>0</v>
      </c>
      <c r="B52" s="91">
        <f>VLOOKUP(A3,'Old Data'!A1:CM88,22,FALSE)</f>
        <v>2</v>
      </c>
      <c r="C52" s="92" t="str">
        <f>IF(B52=0,"Does not meet prior year’s state performance and did not improve",
IF(B52=1,"Does not meet prior year’s state performance but improved since last year",
IF(B52=2,"Meets or exceeds prior year’s state performance",
IF(B52=3,"Meets or exceeds current state target",""))))</f>
        <v>Meets or exceeds prior year’s state performance</v>
      </c>
      <c r="D52" s="20"/>
      <c r="E52" s="20"/>
      <c r="F52" s="22"/>
      <c r="G52" s="20"/>
      <c r="H52" s="20"/>
      <c r="I52" s="20"/>
    </row>
    <row r="53" spans="1:10" ht="20.100000000000001" customHeight="1" x14ac:dyDescent="0.2">
      <c r="A53" s="38"/>
      <c r="B53" s="15"/>
      <c r="C53" s="16"/>
      <c r="D53" s="21"/>
      <c r="E53" s="21"/>
      <c r="F53" s="16"/>
      <c r="G53" s="16"/>
      <c r="H53" s="16"/>
      <c r="I53" s="16"/>
      <c r="J53" s="16"/>
    </row>
    <row r="54" spans="1:10" ht="11.25" customHeight="1" x14ac:dyDescent="0.2">
      <c r="A54" s="19"/>
      <c r="B54" s="43" t="s">
        <v>317</v>
      </c>
      <c r="C54" s="56">
        <v>0.1439</v>
      </c>
      <c r="E54" s="23"/>
      <c r="F54" s="23"/>
      <c r="G54" s="23"/>
      <c r="H54" s="23"/>
      <c r="I54" s="23"/>
      <c r="J54" s="23"/>
    </row>
    <row r="55" spans="1:10" ht="11.25" customHeight="1" x14ac:dyDescent="0.2">
      <c r="A55" s="19"/>
      <c r="B55" s="43" t="s">
        <v>467</v>
      </c>
      <c r="C55" s="56">
        <v>0.14849999999999999</v>
      </c>
      <c r="E55" s="23"/>
      <c r="F55" s="23"/>
      <c r="G55" s="23"/>
      <c r="H55" s="23"/>
      <c r="I55" s="23"/>
      <c r="J55" s="23"/>
    </row>
    <row r="56" spans="1:10" ht="11.25" customHeight="1" x14ac:dyDescent="0.2">
      <c r="A56" s="19"/>
      <c r="B56" s="43" t="s">
        <v>299</v>
      </c>
      <c r="C56" s="56">
        <f>VLOOKUP(A3,'Old Data'!A1:CM88,23,FALSE)</f>
        <v>0.15340000000000001</v>
      </c>
      <c r="E56" s="23"/>
      <c r="F56" s="23"/>
      <c r="G56" s="23"/>
      <c r="H56" s="23"/>
      <c r="I56" s="23"/>
      <c r="J56" s="23"/>
    </row>
    <row r="57" spans="1:10" ht="11.25" customHeight="1" x14ac:dyDescent="0.2">
      <c r="A57" s="19"/>
      <c r="B57" s="43" t="s">
        <v>466</v>
      </c>
      <c r="C57" s="56">
        <f>VLOOKUP(A3,'Old Data'!A1:CM88,24,FALSE)</f>
        <v>0.14849999999999999</v>
      </c>
      <c r="E57" s="23"/>
      <c r="F57" s="23"/>
      <c r="G57" s="23"/>
      <c r="H57" s="23"/>
      <c r="I57" s="23"/>
      <c r="J57" s="23"/>
    </row>
    <row r="58" spans="1:10" ht="11.25" customHeight="1" x14ac:dyDescent="0.2">
      <c r="A58" s="19"/>
      <c r="B58" s="19"/>
      <c r="C58" s="19"/>
      <c r="D58" s="19"/>
      <c r="E58" s="19"/>
      <c r="F58" s="19"/>
      <c r="G58" s="19"/>
      <c r="H58" s="19"/>
      <c r="I58" s="19"/>
      <c r="J58" s="19"/>
    </row>
    <row r="59" spans="1:10" ht="12" x14ac:dyDescent="0.2">
      <c r="A59" s="68" t="s">
        <v>326</v>
      </c>
      <c r="B59" s="46"/>
      <c r="C59" s="47"/>
      <c r="D59" s="45"/>
      <c r="E59" s="45"/>
      <c r="F59" s="44"/>
      <c r="G59" s="44"/>
      <c r="H59" s="44"/>
      <c r="I59" s="44"/>
      <c r="J59" s="44"/>
    </row>
    <row r="60" spans="1:10" x14ac:dyDescent="0.2">
      <c r="A60" s="7" t="s">
        <v>0</v>
      </c>
      <c r="B60" s="91">
        <f>VLOOKUP(A3,'Old Data'!A1:CM88,25,FALSE)</f>
        <v>2</v>
      </c>
      <c r="C60" s="92" t="str">
        <f>IF(B60=0,"Does not meet prior year’s state performance and did not improve",
IF(B60=1,"Does not meet prior year’s state performance but improved since last year",
IF(B60=2,"Meets or exceeds prior year’s state performance",
IF(B60=3,"Meets or exceeds current state target",""))))</f>
        <v>Meets or exceeds prior year’s state performance</v>
      </c>
      <c r="D60" s="20"/>
      <c r="E60" s="20"/>
      <c r="F60" s="22"/>
      <c r="G60" s="20"/>
      <c r="H60" s="20"/>
      <c r="I60" s="20"/>
    </row>
    <row r="61" spans="1:10" ht="20.100000000000001" customHeight="1" x14ac:dyDescent="0.2">
      <c r="A61" s="38"/>
      <c r="B61" s="15"/>
      <c r="C61" s="16"/>
      <c r="D61" s="21"/>
      <c r="E61" s="21"/>
      <c r="F61" s="16"/>
      <c r="G61" s="16"/>
      <c r="H61" s="16"/>
      <c r="I61" s="16"/>
      <c r="J61" s="16"/>
    </row>
    <row r="62" spans="1:10" ht="11.25" customHeight="1" x14ac:dyDescent="0.2">
      <c r="A62" s="19"/>
      <c r="B62" s="43" t="s">
        <v>317</v>
      </c>
      <c r="C62" s="56">
        <v>0.3105</v>
      </c>
      <c r="E62" s="23"/>
      <c r="F62" s="23"/>
      <c r="G62" s="23"/>
      <c r="H62" s="23"/>
      <c r="I62" s="23"/>
      <c r="J62" s="23"/>
    </row>
    <row r="63" spans="1:10" ht="11.25" customHeight="1" x14ac:dyDescent="0.2">
      <c r="A63" s="19"/>
      <c r="B63" s="43" t="s">
        <v>467</v>
      </c>
      <c r="C63" s="56">
        <v>0.34139999999999998</v>
      </c>
      <c r="E63" s="23"/>
      <c r="F63" s="23"/>
      <c r="G63" s="23"/>
      <c r="H63" s="23"/>
      <c r="I63" s="23"/>
      <c r="J63" s="23"/>
    </row>
    <row r="64" spans="1:10" ht="11.25" customHeight="1" x14ac:dyDescent="0.2">
      <c r="A64" s="19"/>
      <c r="B64" s="43" t="s">
        <v>299</v>
      </c>
      <c r="C64" s="56">
        <f>VLOOKUP(A3,'Old Data'!A1:CM88,26,FALSE)</f>
        <v>0.3125</v>
      </c>
      <c r="E64" s="23"/>
      <c r="F64" s="23"/>
      <c r="G64" s="23"/>
      <c r="H64" s="23"/>
      <c r="I64" s="23"/>
      <c r="J64" s="23"/>
    </row>
    <row r="65" spans="1:10" ht="11.25" customHeight="1" x14ac:dyDescent="0.2">
      <c r="A65" s="19"/>
      <c r="B65" s="43" t="s">
        <v>466</v>
      </c>
      <c r="C65" s="56">
        <f>VLOOKUP(A3,'Old Data'!A1:CM88,27,FALSE)</f>
        <v>0.34139999999999998</v>
      </c>
      <c r="E65" s="23"/>
      <c r="F65" s="23"/>
      <c r="G65" s="23"/>
      <c r="H65" s="23"/>
      <c r="I65" s="23"/>
      <c r="J65" s="23"/>
    </row>
    <row r="66" spans="1:10" ht="11.25" customHeight="1" x14ac:dyDescent="0.2">
      <c r="A66" s="19"/>
      <c r="B66" s="19"/>
      <c r="C66" s="19"/>
      <c r="D66" s="19"/>
      <c r="E66" s="19"/>
      <c r="F66" s="19"/>
      <c r="G66" s="19"/>
      <c r="H66" s="19"/>
      <c r="I66" s="19"/>
      <c r="J66" s="19"/>
    </row>
    <row r="67" spans="1:10" ht="12" x14ac:dyDescent="0.2">
      <c r="A67" s="68" t="s">
        <v>327</v>
      </c>
      <c r="B67" s="46"/>
      <c r="C67" s="47"/>
      <c r="D67" s="45"/>
      <c r="E67" s="45"/>
      <c r="F67" s="44"/>
      <c r="G67" s="44"/>
      <c r="H67" s="44"/>
      <c r="I67" s="44"/>
      <c r="J67" s="44"/>
    </row>
    <row r="68" spans="1:10" x14ac:dyDescent="0.2">
      <c r="A68" s="7" t="s">
        <v>0</v>
      </c>
      <c r="B68" s="91">
        <f>VLOOKUP(A3,'Old Data'!A1:CM88,28,FALSE)</f>
        <v>2</v>
      </c>
      <c r="C68" s="92" t="str">
        <f>IF(B68=0,"Does not meet prior year’s state performance and did not improve",
IF(B68=1,"Does not meet prior year’s state performance but improved since last year",
IF(B68=2,"Meets or exceeds prior year’s state performance",
IF(B68=3,"Meets or exceeds current state target",""))))</f>
        <v>Meets or exceeds prior year’s state performance</v>
      </c>
      <c r="D68" s="20"/>
      <c r="E68" s="20"/>
      <c r="F68" s="22"/>
      <c r="G68" s="20"/>
      <c r="H68" s="20"/>
      <c r="I68" s="20"/>
    </row>
    <row r="69" spans="1:10" ht="20.100000000000001" customHeight="1" x14ac:dyDescent="0.2">
      <c r="A69" s="38"/>
      <c r="B69" s="15"/>
      <c r="C69" s="16"/>
      <c r="D69" s="21"/>
      <c r="E69" s="21"/>
      <c r="F69" s="16"/>
      <c r="G69" s="16"/>
      <c r="H69" s="16"/>
      <c r="I69" s="16"/>
      <c r="J69" s="16"/>
    </row>
    <row r="70" spans="1:10" ht="11.25" customHeight="1" x14ac:dyDescent="0.2">
      <c r="A70" s="19"/>
      <c r="B70" s="43" t="s">
        <v>317</v>
      </c>
      <c r="C70" s="56">
        <v>0.09</v>
      </c>
      <c r="E70" s="23"/>
      <c r="F70" s="23"/>
      <c r="G70" s="23"/>
      <c r="H70" s="23"/>
      <c r="I70" s="23"/>
      <c r="J70" s="23"/>
    </row>
    <row r="71" spans="1:10" ht="11.25" customHeight="1" x14ac:dyDescent="0.2">
      <c r="A71" s="19"/>
      <c r="B71" s="43" t="s">
        <v>467</v>
      </c>
      <c r="C71" s="56">
        <v>0.156</v>
      </c>
      <c r="E71" s="23"/>
      <c r="F71" s="23"/>
      <c r="G71" s="23"/>
      <c r="H71" s="23"/>
      <c r="I71" s="23"/>
      <c r="J71" s="23"/>
    </row>
    <row r="72" spans="1:10" ht="11.25" customHeight="1" x14ac:dyDescent="0.2">
      <c r="A72" s="19"/>
      <c r="B72" s="43" t="s">
        <v>299</v>
      </c>
      <c r="C72" s="56">
        <f>VLOOKUP(A3,'Old Data'!A1:CM88,29,FALSE)</f>
        <v>7.5200000000000003E-2</v>
      </c>
      <c r="E72" s="23"/>
      <c r="F72" s="23"/>
      <c r="G72" s="23"/>
      <c r="H72" s="23"/>
      <c r="I72" s="23"/>
      <c r="J72" s="23"/>
    </row>
    <row r="73" spans="1:10" ht="11.25" customHeight="1" x14ac:dyDescent="0.2">
      <c r="A73" s="19"/>
      <c r="B73" s="43" t="s">
        <v>466</v>
      </c>
      <c r="C73" s="56">
        <f>VLOOKUP(A3,'Old Data'!A1:CM88,30,FALSE)</f>
        <v>0.156</v>
      </c>
      <c r="E73" s="23"/>
      <c r="F73" s="23"/>
      <c r="G73" s="23"/>
      <c r="H73" s="23"/>
      <c r="I73" s="23"/>
      <c r="J73" s="23"/>
    </row>
    <row r="74" spans="1:10" ht="11.25" customHeight="1" x14ac:dyDescent="0.2">
      <c r="A74" s="19"/>
      <c r="B74" s="19"/>
      <c r="C74" s="19"/>
      <c r="D74" s="19"/>
      <c r="E74" s="19"/>
      <c r="F74" s="19"/>
      <c r="G74" s="19"/>
      <c r="H74" s="19"/>
      <c r="I74" s="19"/>
      <c r="J74" s="19"/>
    </row>
    <row r="75" spans="1:10" ht="12" x14ac:dyDescent="0.2">
      <c r="A75" s="68" t="s">
        <v>328</v>
      </c>
      <c r="B75" s="46"/>
      <c r="C75" s="47"/>
      <c r="D75" s="45"/>
      <c r="E75" s="45"/>
      <c r="F75" s="44"/>
      <c r="G75" s="44"/>
      <c r="H75" s="44"/>
      <c r="I75" s="44"/>
      <c r="J75" s="44"/>
    </row>
    <row r="76" spans="1:10" x14ac:dyDescent="0.2">
      <c r="A76" s="7" t="s">
        <v>0</v>
      </c>
      <c r="B76" s="91">
        <f>VLOOKUP(A3,'Old Data'!A1:CM88,31,FALSE)</f>
        <v>2</v>
      </c>
      <c r="C76" s="92" t="str">
        <f>IF(B76=0,"Does not meet prior year’s state performance and did not improve",
IF(B76=1,"Does not meet prior year’s state performance but improved since last year",
IF(B76=2,"Meets or exceeds prior year’s state performance",
IF(B76=3,"Meets or exceeds current state target",""))))</f>
        <v>Meets or exceeds prior year’s state performance</v>
      </c>
      <c r="D76" s="20"/>
      <c r="E76" s="20"/>
      <c r="F76" s="22"/>
      <c r="G76" s="20"/>
      <c r="H76" s="20"/>
      <c r="I76" s="20"/>
    </row>
    <row r="77" spans="1:10" ht="20.100000000000001" customHeight="1" x14ac:dyDescent="0.2">
      <c r="A77" s="38"/>
      <c r="B77" s="15"/>
      <c r="C77" s="16"/>
      <c r="D77" s="21"/>
      <c r="E77" s="21"/>
      <c r="F77" s="16"/>
      <c r="G77" s="16"/>
      <c r="H77" s="16"/>
      <c r="I77" s="16"/>
      <c r="J77" s="16"/>
    </row>
    <row r="78" spans="1:10" ht="11.25" customHeight="1" x14ac:dyDescent="0.2">
      <c r="A78" s="19"/>
      <c r="B78" s="43" t="s">
        <v>316</v>
      </c>
      <c r="C78" s="56">
        <v>0.3</v>
      </c>
      <c r="E78" s="23"/>
      <c r="F78" s="23"/>
      <c r="G78" s="23"/>
      <c r="H78" s="23"/>
      <c r="I78" s="23"/>
      <c r="J78" s="23"/>
    </row>
    <row r="79" spans="1:10" ht="11.25" customHeight="1" x14ac:dyDescent="0.2">
      <c r="A79" s="19"/>
      <c r="B79" s="43" t="s">
        <v>467</v>
      </c>
      <c r="C79" s="56">
        <v>0.29600000000000004</v>
      </c>
      <c r="E79" s="23"/>
      <c r="F79" s="23"/>
      <c r="G79" s="23"/>
      <c r="H79" s="23"/>
      <c r="I79" s="23"/>
      <c r="J79" s="23"/>
    </row>
    <row r="80" spans="1:10" ht="11.25" customHeight="1" x14ac:dyDescent="0.2">
      <c r="A80" s="19"/>
      <c r="B80" s="43" t="s">
        <v>299</v>
      </c>
      <c r="C80" s="56">
        <f>VLOOKUP(A3,'Old Data'!A1:CM88,32,FALSE)</f>
        <v>0.21199999999999999</v>
      </c>
      <c r="E80" s="23"/>
      <c r="F80" s="23"/>
      <c r="G80" s="23"/>
      <c r="H80" s="23"/>
      <c r="I80" s="23"/>
      <c r="J80" s="23"/>
    </row>
    <row r="81" spans="1:10" ht="11.25" customHeight="1" x14ac:dyDescent="0.2">
      <c r="A81" s="19"/>
      <c r="B81" s="43" t="s">
        <v>466</v>
      </c>
      <c r="C81" s="56">
        <f>VLOOKUP(A3,'Old Data'!A1:CM88,33,FALSE)</f>
        <v>0.29599999999999999</v>
      </c>
      <c r="E81" s="23"/>
      <c r="F81" s="23"/>
      <c r="G81" s="23"/>
      <c r="H81" s="23"/>
      <c r="I81" s="23"/>
      <c r="J81" s="23"/>
    </row>
    <row r="82" spans="1:10" ht="11.25" customHeight="1" x14ac:dyDescent="0.2">
      <c r="A82" s="19"/>
      <c r="B82" s="19"/>
      <c r="C82" s="19"/>
      <c r="D82" s="19"/>
      <c r="E82" s="19"/>
      <c r="F82" s="19"/>
      <c r="G82" s="19"/>
      <c r="H82" s="19"/>
      <c r="I82" s="19"/>
      <c r="J82" s="19"/>
    </row>
    <row r="83" spans="1:10" ht="11.25" customHeight="1" x14ac:dyDescent="0.2">
      <c r="A83" s="48" t="s">
        <v>16</v>
      </c>
      <c r="B83" s="41">
        <f>SUM(B28,B36,B44,B52,B60,B68,B76)</f>
        <v>14</v>
      </c>
      <c r="C83" s="27"/>
      <c r="D83" s="26"/>
      <c r="E83" s="26"/>
      <c r="F83" s="28"/>
      <c r="G83" s="28"/>
      <c r="H83" s="28"/>
      <c r="I83" s="28"/>
      <c r="J83" s="28"/>
    </row>
    <row r="85" spans="1:10" s="14" customFormat="1" ht="21.95" customHeight="1" x14ac:dyDescent="0.25">
      <c r="A85" s="24" t="s">
        <v>100</v>
      </c>
      <c r="B85" s="24"/>
      <c r="C85" s="24"/>
      <c r="D85" s="24"/>
      <c r="E85" s="24"/>
      <c r="F85" s="24"/>
      <c r="G85" s="24"/>
      <c r="H85" s="24"/>
      <c r="I85" s="24"/>
      <c r="J85" s="24"/>
    </row>
    <row r="86" spans="1:10" ht="22.5" customHeight="1" x14ac:dyDescent="0.2">
      <c r="A86" s="34" t="s">
        <v>101</v>
      </c>
      <c r="B86" s="34" t="s">
        <v>102</v>
      </c>
      <c r="C86" s="34" t="s">
        <v>319</v>
      </c>
      <c r="D86" s="34" t="s">
        <v>318</v>
      </c>
      <c r="E86" s="34" t="s">
        <v>485</v>
      </c>
      <c r="F86" s="35" t="s">
        <v>100</v>
      </c>
      <c r="G86" s="34"/>
      <c r="H86" s="34"/>
      <c r="I86" s="34"/>
      <c r="J86" s="34"/>
    </row>
    <row r="87" spans="1:10" x14ac:dyDescent="0.2">
      <c r="A87" s="42">
        <f>B25</f>
        <v>17</v>
      </c>
      <c r="B87" s="42">
        <f>B83</f>
        <v>14</v>
      </c>
      <c r="C87" s="42">
        <f>SUM(A87:B87)</f>
        <v>31</v>
      </c>
      <c r="D87" s="63">
        <f>VLOOKUP(A3,'Old Data'!A1:CM88,91,FALSE)</f>
        <v>42</v>
      </c>
      <c r="E87" s="33">
        <f>SUM(A87,B87)/D87</f>
        <v>0.73809523809523814</v>
      </c>
      <c r="F87" s="62" t="str">
        <f>IF(E87&gt;=0.8,"Meets Requirement",IF(E87&gt;=0.6,"Needs Assistance",IF(E87&gt;=0.3,"Needs Intervention",IF(E87&lt;0.3,"Needs Substantial Intervention","NA"))))</f>
        <v>Needs Assistance</v>
      </c>
    </row>
    <row r="88" spans="1:10" x14ac:dyDescent="0.2">
      <c r="A88" s="42"/>
      <c r="B88" s="42"/>
      <c r="C88" s="42"/>
      <c r="D88" s="42"/>
      <c r="E88" s="33"/>
    </row>
    <row r="89" spans="1:10" ht="14.25" x14ac:dyDescent="0.2">
      <c r="A89" s="24" t="s">
        <v>297</v>
      </c>
      <c r="B89" s="24"/>
      <c r="C89" s="24"/>
      <c r="D89" s="24"/>
      <c r="E89" s="24"/>
      <c r="F89" s="24"/>
      <c r="G89" s="24"/>
      <c r="H89" s="24"/>
      <c r="I89" s="24"/>
      <c r="J89" s="24"/>
    </row>
    <row r="90" spans="1:10" x14ac:dyDescent="0.2">
      <c r="A90" s="38" t="s">
        <v>465</v>
      </c>
      <c r="B90" s="38"/>
      <c r="C90" s="38"/>
      <c r="D90" s="38"/>
      <c r="E90" s="38"/>
      <c r="F90" s="38"/>
      <c r="G90" s="38"/>
      <c r="H90" s="38"/>
      <c r="I90" s="38"/>
      <c r="J90" s="38"/>
    </row>
    <row r="91" spans="1:10" x14ac:dyDescent="0.2">
      <c r="A91" s="38" t="s">
        <v>321</v>
      </c>
      <c r="B91" s="34"/>
      <c r="C91" s="34"/>
      <c r="D91" s="34"/>
      <c r="E91" s="34"/>
      <c r="F91" s="34"/>
      <c r="G91" s="34"/>
      <c r="H91" s="34"/>
      <c r="I91" s="34"/>
      <c r="J91" s="34"/>
    </row>
  </sheetData>
  <sheetProtection algorithmName="SHA-512" hashValue="UfH0VIGBd9+yZlW1x/JvAk14htEL8SDI5RCnLZ35vdcFSmwfwc15Ex2g5uiuNbWgeiOPy8ZdOaSqD2SpHp8E4g==" saltValue="oHHFxMejsLuUBvIGa3JaRA==" spinCount="100000" sheet="1" objects="1" scenarios="1" selectLockedCells="1" selectUnlockedCells="1"/>
  <dataValidations count="1">
    <dataValidation type="list" allowBlank="1" showInputMessage="1" showErrorMessage="1" sqref="H3:J3" xr:uid="{00000000-0002-0000-0200-000000000000}">
      <formula1>$A$1:$A$144</formula1>
    </dataValidation>
  </dataValidations>
  <printOptions horizontalCentered="1"/>
  <pageMargins left="0.25" right="0.25" top="0.25" bottom="0.25" header="0" footer="0"/>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A46D2F3-87E9-4BAE-A68C-B24F1F600550}">
          <x14:formula1>
            <xm:f>'Old Data'!$A$3:$A$88</xm:f>
          </x14:formula1>
          <xm:sqref>A3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CN88"/>
  <sheetViews>
    <sheetView zoomScaleNormal="100"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1" bestFit="1" customWidth="1"/>
    <col min="2" max="2" width="47.85546875" style="2" bestFit="1" customWidth="1"/>
    <col min="3" max="3" width="19.5703125" style="2" customWidth="1"/>
    <col min="4" max="4" width="13.140625" style="2" bestFit="1" customWidth="1"/>
    <col min="5" max="5" width="11.28515625" style="1" bestFit="1" customWidth="1"/>
    <col min="6" max="13" width="5.7109375" style="84" customWidth="1"/>
    <col min="14" max="14" width="9" style="61" customWidth="1"/>
    <col min="15" max="15" width="10" style="61" customWidth="1"/>
    <col min="16" max="16" width="5.7109375" style="84" customWidth="1"/>
    <col min="17" max="18" width="9.42578125" style="61" bestFit="1" customWidth="1"/>
    <col min="19" max="19" width="5.7109375" style="84" customWidth="1"/>
    <col min="20" max="21" width="9.42578125" style="61" bestFit="1" customWidth="1"/>
    <col min="22" max="22" width="5.7109375" style="84" customWidth="1"/>
    <col min="23" max="24" width="9.42578125" style="61" bestFit="1" customWidth="1"/>
    <col min="25" max="25" width="5.7109375" style="84" customWidth="1"/>
    <col min="26" max="27" width="9.42578125" style="61" bestFit="1" customWidth="1"/>
    <col min="28" max="28" width="5.7109375" style="84" customWidth="1"/>
    <col min="29" max="30" width="9.42578125" style="61" bestFit="1" customWidth="1"/>
    <col min="31" max="31" width="5.7109375" style="84" customWidth="1"/>
    <col min="32" max="33" width="9.42578125" style="61" bestFit="1" customWidth="1"/>
    <col min="34" max="34" width="6.85546875" style="86" bestFit="1" customWidth="1"/>
    <col min="35" max="39" width="9.42578125" style="61" bestFit="1" customWidth="1"/>
    <col min="40" max="42" width="9.7109375" style="61" bestFit="1" customWidth="1"/>
    <col min="43" max="45" width="9.42578125" style="61" bestFit="1" customWidth="1"/>
    <col min="46" max="48" width="9.7109375" style="61" bestFit="1" customWidth="1"/>
    <col min="49" max="50" width="9.42578125" style="61" bestFit="1" customWidth="1"/>
    <col min="51" max="51" width="10.7109375" style="61" bestFit="1" customWidth="1"/>
    <col min="52" max="54" width="9.5703125" style="61" bestFit="1" customWidth="1"/>
    <col min="55" max="57" width="9.42578125" style="61" bestFit="1" customWidth="1"/>
    <col min="58" max="60" width="9.85546875" style="61" bestFit="1" customWidth="1"/>
    <col min="61" max="61" width="9.42578125" style="61" bestFit="1" customWidth="1"/>
    <col min="62" max="62" width="9.42578125" style="61" customWidth="1"/>
    <col min="63" max="65" width="9.42578125" style="61" bestFit="1" customWidth="1"/>
    <col min="66" max="71" width="10.7109375" style="61" bestFit="1" customWidth="1"/>
    <col min="72" max="74" width="10.5703125" style="61" bestFit="1" customWidth="1"/>
    <col min="75" max="82" width="9.42578125" style="61" bestFit="1" customWidth="1"/>
    <col min="83" max="83" width="10.7109375" style="61" bestFit="1" customWidth="1"/>
    <col min="84" max="89" width="9.42578125" style="61" bestFit="1" customWidth="1"/>
    <col min="90" max="91" width="9.140625" style="61"/>
    <col min="92" max="16384" width="9.140625" style="1"/>
  </cols>
  <sheetData>
    <row r="1" spans="1:92" s="4" customFormat="1" ht="45" x14ac:dyDescent="0.25">
      <c r="A1" s="5" t="s">
        <v>293</v>
      </c>
      <c r="B1" s="4" t="s">
        <v>17</v>
      </c>
      <c r="C1" s="4" t="s">
        <v>18</v>
      </c>
      <c r="D1" s="4" t="s">
        <v>19</v>
      </c>
      <c r="E1" s="4" t="s">
        <v>20</v>
      </c>
      <c r="F1" s="57" t="s">
        <v>5</v>
      </c>
      <c r="G1" s="57" t="s">
        <v>6</v>
      </c>
      <c r="H1" s="57" t="s">
        <v>7</v>
      </c>
      <c r="I1" s="57" t="s">
        <v>8</v>
      </c>
      <c r="J1" s="57" t="s">
        <v>300</v>
      </c>
      <c r="K1" s="57" t="s">
        <v>330</v>
      </c>
      <c r="L1" s="57" t="s">
        <v>331</v>
      </c>
      <c r="M1" s="57" t="s">
        <v>9</v>
      </c>
      <c r="N1" s="4" t="s">
        <v>301</v>
      </c>
      <c r="O1" s="4" t="s">
        <v>468</v>
      </c>
      <c r="P1" s="57" t="s">
        <v>10</v>
      </c>
      <c r="Q1" s="4" t="s">
        <v>302</v>
      </c>
      <c r="R1" s="4" t="s">
        <v>469</v>
      </c>
      <c r="S1" s="57" t="s">
        <v>11</v>
      </c>
      <c r="T1" s="4" t="s">
        <v>303</v>
      </c>
      <c r="U1" s="4" t="s">
        <v>470</v>
      </c>
      <c r="V1" s="57" t="s">
        <v>12</v>
      </c>
      <c r="W1" s="4" t="s">
        <v>304</v>
      </c>
      <c r="X1" s="4" t="s">
        <v>471</v>
      </c>
      <c r="Y1" s="57" t="s">
        <v>13</v>
      </c>
      <c r="Z1" s="4" t="s">
        <v>305</v>
      </c>
      <c r="AA1" s="4" t="s">
        <v>472</v>
      </c>
      <c r="AB1" s="57" t="s">
        <v>14</v>
      </c>
      <c r="AC1" s="4" t="s">
        <v>306</v>
      </c>
      <c r="AD1" s="4" t="s">
        <v>473</v>
      </c>
      <c r="AE1" s="57" t="s">
        <v>15</v>
      </c>
      <c r="AF1" s="4" t="s">
        <v>307</v>
      </c>
      <c r="AG1" s="4" t="s">
        <v>474</v>
      </c>
      <c r="AH1" s="72" t="s">
        <v>21</v>
      </c>
      <c r="AI1" s="4" t="s">
        <v>311</v>
      </c>
      <c r="AJ1" s="4" t="s">
        <v>312</v>
      </c>
      <c r="AK1" s="4" t="s">
        <v>103</v>
      </c>
      <c r="AL1" s="4" t="s">
        <v>104</v>
      </c>
      <c r="AM1" s="4" t="s">
        <v>105</v>
      </c>
      <c r="AN1" s="4" t="s">
        <v>106</v>
      </c>
      <c r="AO1" s="4" t="s">
        <v>107</v>
      </c>
      <c r="AP1" s="4" t="s">
        <v>108</v>
      </c>
      <c r="AQ1" s="4" t="s">
        <v>109</v>
      </c>
      <c r="AR1" s="4" t="s">
        <v>110</v>
      </c>
      <c r="AS1" s="4" t="s">
        <v>111</v>
      </c>
      <c r="AT1" s="4" t="s">
        <v>112</v>
      </c>
      <c r="AU1" s="4" t="s">
        <v>113</v>
      </c>
      <c r="AV1" s="4" t="s">
        <v>114</v>
      </c>
      <c r="AW1" s="4" t="s">
        <v>115</v>
      </c>
      <c r="AX1" s="4" t="s">
        <v>116</v>
      </c>
      <c r="AY1" s="4" t="s">
        <v>117</v>
      </c>
      <c r="AZ1" s="4" t="s">
        <v>118</v>
      </c>
      <c r="BA1" s="4" t="s">
        <v>119</v>
      </c>
      <c r="BB1" s="4" t="s">
        <v>120</v>
      </c>
      <c r="BC1" s="4" t="s">
        <v>121</v>
      </c>
      <c r="BD1" s="4" t="s">
        <v>122</v>
      </c>
      <c r="BE1" s="4" t="s">
        <v>123</v>
      </c>
      <c r="BF1" s="4" t="s">
        <v>124</v>
      </c>
      <c r="BG1" s="4" t="s">
        <v>125</v>
      </c>
      <c r="BH1" s="4" t="s">
        <v>126</v>
      </c>
      <c r="BI1" s="4" t="s">
        <v>308</v>
      </c>
      <c r="BJ1" s="4" t="s">
        <v>314</v>
      </c>
      <c r="BK1" s="4" t="s">
        <v>127</v>
      </c>
      <c r="BL1" s="4" t="s">
        <v>128</v>
      </c>
      <c r="BM1" s="4" t="s">
        <v>129</v>
      </c>
      <c r="BN1" s="4" t="s">
        <v>130</v>
      </c>
      <c r="BO1" s="4" t="s">
        <v>131</v>
      </c>
      <c r="BP1" s="4" t="s">
        <v>132</v>
      </c>
      <c r="BQ1" s="4" t="s">
        <v>133</v>
      </c>
      <c r="BR1" s="4" t="s">
        <v>134</v>
      </c>
      <c r="BS1" s="4" t="s">
        <v>135</v>
      </c>
      <c r="BT1" s="4" t="s">
        <v>136</v>
      </c>
      <c r="BU1" s="4" t="s">
        <v>137</v>
      </c>
      <c r="BV1" s="4" t="s">
        <v>138</v>
      </c>
      <c r="BW1" s="4" t="s">
        <v>139</v>
      </c>
      <c r="BX1" s="4" t="s">
        <v>140</v>
      </c>
      <c r="BY1" s="4" t="s">
        <v>141</v>
      </c>
      <c r="BZ1" s="4" t="s">
        <v>142</v>
      </c>
      <c r="CA1" s="4" t="s">
        <v>143</v>
      </c>
      <c r="CB1" s="4" t="s">
        <v>144</v>
      </c>
      <c r="CC1" s="4" t="s">
        <v>145</v>
      </c>
      <c r="CD1" s="4" t="s">
        <v>309</v>
      </c>
      <c r="CE1" s="4" t="s">
        <v>310</v>
      </c>
      <c r="CF1" s="4" t="s">
        <v>146</v>
      </c>
      <c r="CG1" s="4" t="s">
        <v>147</v>
      </c>
      <c r="CH1" s="4" t="s">
        <v>148</v>
      </c>
      <c r="CI1" s="4" t="s">
        <v>149</v>
      </c>
      <c r="CJ1" s="4" t="s">
        <v>150</v>
      </c>
      <c r="CK1" s="4" t="s">
        <v>151</v>
      </c>
      <c r="CL1" s="4" t="s">
        <v>315</v>
      </c>
      <c r="CM1" s="4" t="s">
        <v>318</v>
      </c>
    </row>
    <row r="2" spans="1:92" s="4" customFormat="1" x14ac:dyDescent="0.25">
      <c r="A2" s="5" t="s">
        <v>481</v>
      </c>
      <c r="F2" s="57">
        <v>3</v>
      </c>
      <c r="G2" s="57">
        <v>3</v>
      </c>
      <c r="H2" s="57">
        <v>3</v>
      </c>
      <c r="I2" s="57">
        <v>3</v>
      </c>
      <c r="J2" s="57">
        <v>3</v>
      </c>
      <c r="K2" s="57">
        <v>3</v>
      </c>
      <c r="L2" s="57">
        <v>3</v>
      </c>
      <c r="M2" s="57">
        <v>3</v>
      </c>
      <c r="N2" s="59" t="s">
        <v>23</v>
      </c>
      <c r="O2" s="59" t="s">
        <v>23</v>
      </c>
      <c r="P2" s="57">
        <v>3</v>
      </c>
      <c r="Q2" s="59" t="s">
        <v>23</v>
      </c>
      <c r="R2" s="59" t="s">
        <v>23</v>
      </c>
      <c r="S2" s="57">
        <v>3</v>
      </c>
      <c r="T2" s="59" t="s">
        <v>23</v>
      </c>
      <c r="U2" s="59" t="s">
        <v>23</v>
      </c>
      <c r="V2" s="57">
        <v>3</v>
      </c>
      <c r="W2" s="59" t="s">
        <v>23</v>
      </c>
      <c r="X2" s="59" t="s">
        <v>23</v>
      </c>
      <c r="Y2" s="57">
        <v>3</v>
      </c>
      <c r="Z2" s="59" t="s">
        <v>23</v>
      </c>
      <c r="AA2" s="59" t="s">
        <v>23</v>
      </c>
      <c r="AB2" s="57">
        <v>3</v>
      </c>
      <c r="AC2" s="59" t="s">
        <v>23</v>
      </c>
      <c r="AD2" s="59" t="s">
        <v>23</v>
      </c>
      <c r="AE2" s="57">
        <v>3</v>
      </c>
      <c r="AF2" s="59" t="s">
        <v>23</v>
      </c>
      <c r="AG2" s="59" t="s">
        <v>23</v>
      </c>
      <c r="AH2" s="72"/>
      <c r="AI2" s="83">
        <v>0.60389999999999999</v>
      </c>
      <c r="AJ2" s="83">
        <v>0.23730000000000001</v>
      </c>
      <c r="AK2" s="83">
        <v>0.95</v>
      </c>
      <c r="AL2" s="83">
        <v>0.95</v>
      </c>
      <c r="AM2" s="83">
        <v>0.95</v>
      </c>
      <c r="AN2" s="83">
        <v>0.95</v>
      </c>
      <c r="AO2" s="83">
        <v>0.95</v>
      </c>
      <c r="AP2" s="83">
        <v>0.95</v>
      </c>
      <c r="AQ2" s="83">
        <v>0.18709999999999999</v>
      </c>
      <c r="AR2" s="83">
        <v>9.3399999999999997E-2</v>
      </c>
      <c r="AS2" s="83">
        <v>0.4481</v>
      </c>
      <c r="AT2" s="83">
        <v>0.18390000000000001</v>
      </c>
      <c r="AU2" s="83">
        <v>6.3799999999999996E-2</v>
      </c>
      <c r="AV2" s="83">
        <v>0.2457</v>
      </c>
      <c r="AW2" s="83">
        <v>0.54459999999999997</v>
      </c>
      <c r="AX2" s="83">
        <v>0.37259999999999999</v>
      </c>
      <c r="AY2" s="83">
        <v>0.37980000000000003</v>
      </c>
      <c r="AZ2" s="83">
        <v>0.42699999999999999</v>
      </c>
      <c r="BA2" s="83">
        <v>0.37980000000000003</v>
      </c>
      <c r="BB2" s="83">
        <v>0.3916</v>
      </c>
      <c r="BC2" s="83">
        <v>0.2853</v>
      </c>
      <c r="BD2" s="83">
        <v>0.33810000000000001</v>
      </c>
      <c r="BE2" s="83">
        <v>0.37680000000000002</v>
      </c>
      <c r="BF2" s="83">
        <v>0.24260000000000001</v>
      </c>
      <c r="BG2" s="83">
        <v>0.2477</v>
      </c>
      <c r="BH2" s="83">
        <v>0.25679999999999997</v>
      </c>
      <c r="BI2" s="83">
        <v>3.4700000000000002E-2</v>
      </c>
      <c r="BJ2" s="83">
        <v>0</v>
      </c>
      <c r="BK2" s="83">
        <v>0.6361</v>
      </c>
      <c r="BL2" s="83">
        <v>0.1439</v>
      </c>
      <c r="BM2" s="83">
        <v>1.18E-2</v>
      </c>
      <c r="BN2" s="83">
        <v>0.17680000000000001</v>
      </c>
      <c r="BO2" s="83">
        <v>0.41299999999999998</v>
      </c>
      <c r="BP2" s="83">
        <v>0.52</v>
      </c>
      <c r="BQ2" s="83">
        <v>0.4148</v>
      </c>
      <c r="BR2" s="83">
        <v>0.27439999999999998</v>
      </c>
      <c r="BS2" s="83">
        <v>0.20100000000000001</v>
      </c>
      <c r="BT2" s="83">
        <v>4.53E-2</v>
      </c>
      <c r="BU2" s="83">
        <v>2.9499999999999998E-2</v>
      </c>
      <c r="BV2" s="83">
        <v>3.0099999999999998E-2</v>
      </c>
      <c r="BW2" s="83">
        <v>0.86450000000000005</v>
      </c>
      <c r="BX2" s="83">
        <v>0.5948</v>
      </c>
      <c r="BY2" s="83">
        <v>0.85350000000000004</v>
      </c>
      <c r="BZ2" s="83">
        <v>0.57399999999999995</v>
      </c>
      <c r="CA2" s="83">
        <v>0.88439999999999996</v>
      </c>
      <c r="CB2" s="83">
        <v>0.74080000000000001</v>
      </c>
      <c r="CC2" s="83">
        <v>0.86</v>
      </c>
      <c r="CD2" s="83">
        <v>0</v>
      </c>
      <c r="CE2" s="83">
        <v>0</v>
      </c>
      <c r="CF2" s="83">
        <v>1</v>
      </c>
      <c r="CG2" s="83">
        <v>1</v>
      </c>
      <c r="CH2" s="83">
        <v>1</v>
      </c>
      <c r="CI2" s="83">
        <v>0.11360000000000001</v>
      </c>
      <c r="CJ2" s="83">
        <v>0.40889999999999999</v>
      </c>
      <c r="CK2" s="83">
        <v>0.84460000000000002</v>
      </c>
      <c r="CL2" s="57">
        <v>42</v>
      </c>
      <c r="CM2" s="4">
        <v>42</v>
      </c>
    </row>
    <row r="3" spans="1:92" s="4" customFormat="1" x14ac:dyDescent="0.25">
      <c r="A3" s="5" t="s">
        <v>482</v>
      </c>
      <c r="B3" s="5" t="s">
        <v>461</v>
      </c>
      <c r="C3" s="5" t="s">
        <v>243</v>
      </c>
      <c r="D3" s="5" t="s">
        <v>153</v>
      </c>
      <c r="E3" s="40">
        <v>29201</v>
      </c>
      <c r="F3" s="59">
        <v>3</v>
      </c>
      <c r="G3" s="59">
        <v>3</v>
      </c>
      <c r="H3" s="59">
        <v>2</v>
      </c>
      <c r="I3" s="59">
        <v>3</v>
      </c>
      <c r="J3" s="59">
        <v>2</v>
      </c>
      <c r="K3" s="59">
        <v>2</v>
      </c>
      <c r="L3" s="59">
        <v>2</v>
      </c>
      <c r="M3" s="59">
        <v>2</v>
      </c>
      <c r="N3" s="58">
        <v>0.51619999999999999</v>
      </c>
      <c r="O3" s="58">
        <v>0.55549999999999999</v>
      </c>
      <c r="P3" s="59">
        <v>2</v>
      </c>
      <c r="Q3" s="58">
        <v>0.1242</v>
      </c>
      <c r="R3" s="58">
        <v>0.1331</v>
      </c>
      <c r="S3" s="59">
        <v>2</v>
      </c>
      <c r="T3" s="58">
        <v>0.1157</v>
      </c>
      <c r="U3" s="58">
        <v>0.11210000000000001</v>
      </c>
      <c r="V3" s="59">
        <v>2</v>
      </c>
      <c r="W3" s="58">
        <v>0.15340000000000001</v>
      </c>
      <c r="X3" s="58">
        <v>0.14849999999999999</v>
      </c>
      <c r="Y3" s="59">
        <v>2</v>
      </c>
      <c r="Z3" s="58">
        <v>0.3125</v>
      </c>
      <c r="AA3" s="58">
        <v>0.34139999999999998</v>
      </c>
      <c r="AB3" s="59">
        <v>2</v>
      </c>
      <c r="AC3" s="58">
        <v>7.5200000000000003E-2</v>
      </c>
      <c r="AD3" s="58">
        <v>0.156</v>
      </c>
      <c r="AE3" s="59">
        <v>2</v>
      </c>
      <c r="AF3" s="58">
        <v>0.21199999999999999</v>
      </c>
      <c r="AG3" s="58">
        <v>0.29599999999999999</v>
      </c>
      <c r="AH3" s="72"/>
      <c r="AI3" s="58">
        <v>0.51619999999999999</v>
      </c>
      <c r="AJ3" s="58">
        <v>0.31619999999999998</v>
      </c>
      <c r="AK3" s="58">
        <v>0.98632154882154899</v>
      </c>
      <c r="AL3" s="58">
        <v>0.96262103129925702</v>
      </c>
      <c r="AM3" s="58">
        <v>0.94532604347246296</v>
      </c>
      <c r="AN3" s="58">
        <v>0.98726717878564696</v>
      </c>
      <c r="AO3" s="58">
        <v>0.96395584591124095</v>
      </c>
      <c r="AP3" s="58">
        <v>0.93026793026792998</v>
      </c>
      <c r="AQ3" s="58">
        <v>0.181623208037025</v>
      </c>
      <c r="AR3" s="58">
        <v>7.9030028898102803E-2</v>
      </c>
      <c r="AS3" s="58">
        <v>0.471812794408145</v>
      </c>
      <c r="AT3" s="58">
        <v>0.17309427153811499</v>
      </c>
      <c r="AU3" s="58">
        <v>4.4263322884012503E-2</v>
      </c>
      <c r="AV3" s="58">
        <v>0.29508862129617103</v>
      </c>
      <c r="AW3" s="58">
        <v>0.39029126213592202</v>
      </c>
      <c r="AX3" s="58">
        <v>0.32656514382402702</v>
      </c>
      <c r="AY3" s="58">
        <v>0.34645669291338599</v>
      </c>
      <c r="AZ3" s="58">
        <v>0.36575875486381298</v>
      </c>
      <c r="BA3" s="58">
        <v>0.35677530017152698</v>
      </c>
      <c r="BB3" s="58">
        <v>0.35178571428571398</v>
      </c>
      <c r="BC3" s="58">
        <v>0.32219873042178498</v>
      </c>
      <c r="BD3" s="58">
        <v>0.38013086536012902</v>
      </c>
      <c r="BE3" s="58">
        <v>0.375883003512825</v>
      </c>
      <c r="BF3" s="58">
        <v>0.26071778519947397</v>
      </c>
      <c r="BG3" s="58">
        <v>0.257630585454103</v>
      </c>
      <c r="BH3" s="58">
        <v>0.27764968824458303</v>
      </c>
      <c r="BI3" s="58">
        <v>0.128</v>
      </c>
      <c r="BJ3" s="58">
        <v>0.11899999999999999</v>
      </c>
      <c r="BK3" s="58">
        <v>0.64070000000000005</v>
      </c>
      <c r="BL3" s="58">
        <v>0.14849999999999999</v>
      </c>
      <c r="BM3" s="58">
        <v>1.47E-2</v>
      </c>
      <c r="BN3" s="58">
        <v>0.16420000000000001</v>
      </c>
      <c r="BO3" s="58">
        <v>0.46089999999999998</v>
      </c>
      <c r="BP3" s="58">
        <v>0.4955</v>
      </c>
      <c r="BQ3" s="58">
        <v>0.441</v>
      </c>
      <c r="BR3" s="58">
        <v>0.28610000000000002</v>
      </c>
      <c r="BS3" s="58">
        <v>9.1999999999999998E-3</v>
      </c>
      <c r="BT3" s="58">
        <v>1.2999999999999999E-2</v>
      </c>
      <c r="BU3" s="58">
        <v>9.1999999999999998E-3</v>
      </c>
      <c r="BV3" s="58">
        <v>7.6E-3</v>
      </c>
      <c r="BW3" s="58">
        <v>0.85940000000000005</v>
      </c>
      <c r="BX3" s="58">
        <v>0.51590000000000003</v>
      </c>
      <c r="BY3" s="58">
        <v>0.84350000000000003</v>
      </c>
      <c r="BZ3" s="58">
        <v>0.52629999999999999</v>
      </c>
      <c r="CA3" s="58">
        <v>0.86119999999999997</v>
      </c>
      <c r="CB3" s="58">
        <v>0.64880000000000004</v>
      </c>
      <c r="CC3" s="58">
        <v>0.98399999999999999</v>
      </c>
      <c r="CD3" s="83">
        <v>1.1900000000000001E-2</v>
      </c>
      <c r="CE3" s="83">
        <v>1</v>
      </c>
      <c r="CF3" s="58">
        <v>0.99250000000000005</v>
      </c>
      <c r="CG3" s="58">
        <v>0.995</v>
      </c>
      <c r="CH3" s="58">
        <v>0.95350000000000001</v>
      </c>
      <c r="CI3" s="58">
        <v>0.2455</v>
      </c>
      <c r="CJ3" s="58">
        <v>0.67879999999999996</v>
      </c>
      <c r="CK3" s="58">
        <v>0.74050000000000005</v>
      </c>
      <c r="CL3" s="60">
        <v>31</v>
      </c>
      <c r="CM3" s="4">
        <v>42</v>
      </c>
    </row>
    <row r="4" spans="1:92" x14ac:dyDescent="0.25">
      <c r="A4" s="1" t="s">
        <v>22</v>
      </c>
      <c r="B4" s="5" t="s">
        <v>154</v>
      </c>
      <c r="C4" s="2" t="s">
        <v>22</v>
      </c>
      <c r="D4" s="2" t="s">
        <v>153</v>
      </c>
      <c r="E4" s="3">
        <v>29620</v>
      </c>
      <c r="F4" s="59">
        <v>3</v>
      </c>
      <c r="G4" s="59">
        <v>3</v>
      </c>
      <c r="H4" s="59">
        <v>3</v>
      </c>
      <c r="I4" s="59">
        <v>3</v>
      </c>
      <c r="J4" s="59">
        <v>2</v>
      </c>
      <c r="K4" s="59">
        <v>3</v>
      </c>
      <c r="L4" s="59">
        <v>3</v>
      </c>
      <c r="M4" s="59">
        <v>3</v>
      </c>
      <c r="N4" s="58">
        <v>0.45</v>
      </c>
      <c r="O4" s="58">
        <v>0.70830000000000004</v>
      </c>
      <c r="P4" s="59">
        <v>3</v>
      </c>
      <c r="Q4" s="58">
        <v>0.19120000000000001</v>
      </c>
      <c r="R4" s="58">
        <v>0.22639999999999999</v>
      </c>
      <c r="S4" s="59">
        <v>3</v>
      </c>
      <c r="T4" s="58">
        <v>0.17649999999999999</v>
      </c>
      <c r="U4" s="58">
        <v>0.26419999999999999</v>
      </c>
      <c r="V4" s="59">
        <v>3</v>
      </c>
      <c r="W4" s="58">
        <v>8.2000000000000003E-2</v>
      </c>
      <c r="X4" s="58">
        <v>7.8700000000000006E-2</v>
      </c>
      <c r="Y4" s="59">
        <v>3</v>
      </c>
      <c r="Z4" s="58">
        <v>0.17860000000000001</v>
      </c>
      <c r="AA4" s="58">
        <v>7.1400000000000005E-2</v>
      </c>
      <c r="AB4" s="59">
        <v>2</v>
      </c>
      <c r="AC4" s="58">
        <v>0.13489999999999999</v>
      </c>
      <c r="AD4" s="58">
        <v>0.13919999999999999</v>
      </c>
      <c r="AE4" s="59">
        <v>0</v>
      </c>
      <c r="AF4" s="58">
        <v>0.27300000000000002</v>
      </c>
      <c r="AG4" s="58">
        <v>0.23799999999999999</v>
      </c>
      <c r="AH4" s="72"/>
      <c r="AI4" s="58">
        <v>0.45</v>
      </c>
      <c r="AJ4" s="58">
        <v>0.4</v>
      </c>
      <c r="AK4" s="58">
        <v>1</v>
      </c>
      <c r="AL4" s="58">
        <v>0.92857142857142905</v>
      </c>
      <c r="AM4" s="58">
        <v>0.94444444444444398</v>
      </c>
      <c r="AN4" s="58">
        <v>1</v>
      </c>
      <c r="AO4" s="58">
        <v>0.92857142857142905</v>
      </c>
      <c r="AP4" s="58">
        <v>1</v>
      </c>
      <c r="AQ4" s="58">
        <v>0.36666666666666697</v>
      </c>
      <c r="AR4" s="58">
        <v>4.3478260869565202E-2</v>
      </c>
      <c r="AS4" s="58">
        <v>0.63636363636363602</v>
      </c>
      <c r="AT4" s="58">
        <v>0.3</v>
      </c>
      <c r="AU4" s="58">
        <v>0.217391304347826</v>
      </c>
      <c r="AV4" s="58">
        <v>0.75</v>
      </c>
      <c r="AW4" s="58">
        <v>1</v>
      </c>
      <c r="AX4" s="58">
        <v>0.33333333333333298</v>
      </c>
      <c r="AY4" s="58">
        <v>0.33333333333333298</v>
      </c>
      <c r="AZ4" s="58">
        <v>1</v>
      </c>
      <c r="BA4" s="58">
        <v>0.66666666666666696</v>
      </c>
      <c r="BB4" s="58">
        <v>0.5</v>
      </c>
      <c r="BC4" s="58">
        <v>0.23924466338259401</v>
      </c>
      <c r="BD4" s="58">
        <v>0.43687108410860098</v>
      </c>
      <c r="BE4" s="58">
        <v>0.28229665071770299</v>
      </c>
      <c r="BF4" s="58">
        <v>0.212315270935961</v>
      </c>
      <c r="BG4" s="58">
        <v>0.206189481678375</v>
      </c>
      <c r="BH4" s="58">
        <v>0.14655172413793099</v>
      </c>
      <c r="BI4" s="58" t="s">
        <v>2</v>
      </c>
      <c r="BJ4" s="58" t="s">
        <v>2</v>
      </c>
      <c r="BK4" s="58">
        <v>0.64829999999999999</v>
      </c>
      <c r="BL4" s="58">
        <v>7.8700000000000006E-2</v>
      </c>
      <c r="BM4" s="58">
        <v>7.9000000000000008E-3</v>
      </c>
      <c r="BN4" s="58">
        <v>0.33329999999999999</v>
      </c>
      <c r="BO4" s="58">
        <v>0.33329999999999999</v>
      </c>
      <c r="BP4" s="58">
        <v>1</v>
      </c>
      <c r="BQ4" s="58">
        <v>0.625</v>
      </c>
      <c r="BR4" s="58" t="s">
        <v>23</v>
      </c>
      <c r="BS4" s="58">
        <v>0.25</v>
      </c>
      <c r="BT4" s="58">
        <v>0.33329999999999999</v>
      </c>
      <c r="BU4" s="58">
        <v>0.25</v>
      </c>
      <c r="BV4" s="58" t="s">
        <v>23</v>
      </c>
      <c r="BW4" s="58">
        <v>0.84209999999999996</v>
      </c>
      <c r="BX4" s="58">
        <v>0.52629999999999999</v>
      </c>
      <c r="BY4" s="58">
        <v>0.94740000000000002</v>
      </c>
      <c r="BZ4" s="58">
        <v>0.3947</v>
      </c>
      <c r="CA4" s="58">
        <v>0.91669999999999996</v>
      </c>
      <c r="CB4" s="58">
        <v>0.65790000000000004</v>
      </c>
      <c r="CC4" s="58">
        <v>1</v>
      </c>
      <c r="CD4" s="85" t="s">
        <v>2</v>
      </c>
      <c r="CE4" s="85" t="s">
        <v>2</v>
      </c>
      <c r="CF4" s="58">
        <v>1</v>
      </c>
      <c r="CG4" s="58">
        <v>0.85709999999999997</v>
      </c>
      <c r="CH4" s="58">
        <v>1</v>
      </c>
      <c r="CI4" s="58">
        <v>0</v>
      </c>
      <c r="CJ4" s="58">
        <v>0.33329999999999999</v>
      </c>
      <c r="CK4" s="58">
        <v>0.33329999999999999</v>
      </c>
      <c r="CL4" s="60">
        <v>37</v>
      </c>
      <c r="CM4" s="61">
        <v>42</v>
      </c>
      <c r="CN4" s="4"/>
    </row>
    <row r="5" spans="1:92" x14ac:dyDescent="0.25">
      <c r="A5" s="1" t="s">
        <v>24</v>
      </c>
      <c r="B5" s="2" t="s">
        <v>155</v>
      </c>
      <c r="C5" s="2" t="s">
        <v>24</v>
      </c>
      <c r="D5" s="2" t="s">
        <v>153</v>
      </c>
      <c r="E5" s="3">
        <v>29803</v>
      </c>
      <c r="F5" s="59">
        <v>3</v>
      </c>
      <c r="G5" s="59">
        <v>3</v>
      </c>
      <c r="H5" s="59">
        <v>3</v>
      </c>
      <c r="I5" s="59">
        <v>3</v>
      </c>
      <c r="J5" s="59">
        <v>2</v>
      </c>
      <c r="K5" s="59">
        <v>2</v>
      </c>
      <c r="L5" s="59">
        <v>3</v>
      </c>
      <c r="M5" s="59">
        <v>0</v>
      </c>
      <c r="N5" s="58">
        <v>0.3805</v>
      </c>
      <c r="O5" s="58">
        <v>9.5200000000000007E-2</v>
      </c>
      <c r="P5" s="59">
        <v>1</v>
      </c>
      <c r="Q5" s="58">
        <v>7.3400000000000007E-2</v>
      </c>
      <c r="R5" s="58">
        <v>9.0499999999999997E-2</v>
      </c>
      <c r="S5" s="59">
        <v>1</v>
      </c>
      <c r="T5" s="58">
        <v>4.5100000000000001E-2</v>
      </c>
      <c r="U5" s="58">
        <v>8.09E-2</v>
      </c>
      <c r="V5" s="59">
        <v>3</v>
      </c>
      <c r="W5" s="58">
        <v>0.1246</v>
      </c>
      <c r="X5" s="58">
        <v>0.1177</v>
      </c>
      <c r="Y5" s="59">
        <v>2</v>
      </c>
      <c r="Z5" s="58">
        <v>0.33100000000000002</v>
      </c>
      <c r="AA5" s="58">
        <v>0.31850000000000001</v>
      </c>
      <c r="AB5" s="59">
        <v>2</v>
      </c>
      <c r="AC5" s="58">
        <v>0.13289999999999999</v>
      </c>
      <c r="AD5" s="58">
        <v>0.12239999999999999</v>
      </c>
      <c r="AE5" s="59">
        <v>1</v>
      </c>
      <c r="AF5" s="58">
        <v>0.185</v>
      </c>
      <c r="AG5" s="58">
        <v>0.252</v>
      </c>
      <c r="AH5" s="72"/>
      <c r="AI5" s="58">
        <v>0.3805</v>
      </c>
      <c r="AJ5" s="58">
        <v>0.46460000000000001</v>
      </c>
      <c r="AK5" s="58">
        <v>0.97560975609756095</v>
      </c>
      <c r="AL5" s="58">
        <v>0.97540983606557397</v>
      </c>
      <c r="AM5" s="58">
        <v>0.88725490196078405</v>
      </c>
      <c r="AN5" s="58">
        <v>0.98373983739837401</v>
      </c>
      <c r="AO5" s="58">
        <v>0.97950819672131195</v>
      </c>
      <c r="AP5" s="58">
        <v>0.86858974358974395</v>
      </c>
      <c r="AQ5" s="58">
        <v>0.116591928251121</v>
      </c>
      <c r="AR5" s="58">
        <v>6.3926940639269403E-2</v>
      </c>
      <c r="AS5" s="58">
        <v>0.36809815950920199</v>
      </c>
      <c r="AT5" s="58">
        <v>0.137777777777778</v>
      </c>
      <c r="AU5" s="58">
        <v>2.27272727272727E-2</v>
      </c>
      <c r="AV5" s="58">
        <v>0.2</v>
      </c>
      <c r="AW5" s="58">
        <v>0.23529411764705899</v>
      </c>
      <c r="AX5" s="58">
        <v>0.157894736842105</v>
      </c>
      <c r="AY5" s="58">
        <v>0.27777777777777801</v>
      </c>
      <c r="AZ5" s="58">
        <v>0.11764705882352899</v>
      </c>
      <c r="BA5" s="58">
        <v>0.47368421052631599</v>
      </c>
      <c r="BB5" s="58">
        <v>0.34615384615384598</v>
      </c>
      <c r="BC5" s="58">
        <v>0.350831861348401</v>
      </c>
      <c r="BD5" s="58">
        <v>0.38114667204476199</v>
      </c>
      <c r="BE5" s="58">
        <v>0.46769628821672798</v>
      </c>
      <c r="BF5" s="58">
        <v>0.239388988510327</v>
      </c>
      <c r="BG5" s="58">
        <v>0.19407181921370301</v>
      </c>
      <c r="BH5" s="58">
        <v>0.30370370370370398</v>
      </c>
      <c r="BI5" s="58" t="s">
        <v>152</v>
      </c>
      <c r="BJ5" s="58" t="s">
        <v>152</v>
      </c>
      <c r="BK5" s="58">
        <v>0.69189999999999996</v>
      </c>
      <c r="BL5" s="58">
        <v>0.1177</v>
      </c>
      <c r="BM5" s="58">
        <v>1.32E-2</v>
      </c>
      <c r="BN5" s="58">
        <v>0.26090000000000002</v>
      </c>
      <c r="BO5" s="58">
        <v>0.5</v>
      </c>
      <c r="BP5" s="58">
        <v>0.4118</v>
      </c>
      <c r="BQ5" s="58">
        <v>0.69440000000000002</v>
      </c>
      <c r="BR5" s="58">
        <v>0.2361</v>
      </c>
      <c r="BS5" s="58">
        <v>0</v>
      </c>
      <c r="BT5" s="58">
        <v>0</v>
      </c>
      <c r="BU5" s="58">
        <v>0</v>
      </c>
      <c r="BV5" s="58">
        <v>0</v>
      </c>
      <c r="BW5" s="58">
        <v>0.71430000000000005</v>
      </c>
      <c r="BX5" s="58">
        <v>0.48599999999999999</v>
      </c>
      <c r="BY5" s="58">
        <v>0.73140000000000005</v>
      </c>
      <c r="BZ5" s="58">
        <v>0.50929999999999997</v>
      </c>
      <c r="CA5" s="58">
        <v>0.65</v>
      </c>
      <c r="CB5" s="58">
        <v>0.58879999999999999</v>
      </c>
      <c r="CC5" s="58">
        <v>0.97670000000000001</v>
      </c>
      <c r="CD5" s="85" t="s">
        <v>2</v>
      </c>
      <c r="CE5" s="85" t="s">
        <v>2</v>
      </c>
      <c r="CF5" s="58">
        <v>0.99770000000000003</v>
      </c>
      <c r="CG5" s="58">
        <v>1</v>
      </c>
      <c r="CH5" s="58">
        <v>1</v>
      </c>
      <c r="CI5" s="58">
        <v>0.12</v>
      </c>
      <c r="CJ5" s="58">
        <v>0.56000000000000005</v>
      </c>
      <c r="CK5" s="58">
        <v>0.62</v>
      </c>
      <c r="CL5" s="60">
        <v>29</v>
      </c>
      <c r="CM5" s="61">
        <v>42</v>
      </c>
      <c r="CN5" s="4"/>
    </row>
    <row r="6" spans="1:92" x14ac:dyDescent="0.25">
      <c r="A6" s="1" t="s">
        <v>25</v>
      </c>
      <c r="B6" s="2" t="s">
        <v>156</v>
      </c>
      <c r="C6" s="2" t="s">
        <v>230</v>
      </c>
      <c r="D6" s="2" t="s">
        <v>153</v>
      </c>
      <c r="E6" s="3">
        <v>29827</v>
      </c>
      <c r="F6" s="59">
        <v>3</v>
      </c>
      <c r="G6" s="59">
        <v>3</v>
      </c>
      <c r="H6" s="59">
        <v>2</v>
      </c>
      <c r="I6" s="59">
        <v>3</v>
      </c>
      <c r="J6" s="59">
        <v>3</v>
      </c>
      <c r="K6" s="59">
        <v>3</v>
      </c>
      <c r="L6" s="59">
        <v>2</v>
      </c>
      <c r="M6" s="59">
        <v>0</v>
      </c>
      <c r="N6" s="58">
        <v>0.83330000000000004</v>
      </c>
      <c r="O6" s="58">
        <v>0.2</v>
      </c>
      <c r="P6" s="59">
        <v>1</v>
      </c>
      <c r="Q6" s="58">
        <v>0</v>
      </c>
      <c r="R6" s="58">
        <v>9.0899999999999995E-2</v>
      </c>
      <c r="S6" s="59">
        <v>0</v>
      </c>
      <c r="T6" s="58">
        <v>0</v>
      </c>
      <c r="U6" s="58">
        <v>0</v>
      </c>
      <c r="V6" s="59">
        <v>3</v>
      </c>
      <c r="W6" s="58">
        <v>2.9399999999999999E-2</v>
      </c>
      <c r="X6" s="58">
        <v>0</v>
      </c>
      <c r="Y6" s="59">
        <v>3</v>
      </c>
      <c r="Z6" s="58">
        <v>0</v>
      </c>
      <c r="AA6" s="58">
        <v>0</v>
      </c>
      <c r="AB6" s="59">
        <v>0</v>
      </c>
      <c r="AC6" s="58">
        <v>5.8799999999999998E-2</v>
      </c>
      <c r="AD6" s="58">
        <v>0.28999999999999998</v>
      </c>
      <c r="AE6" s="59">
        <v>1</v>
      </c>
      <c r="AF6" s="58">
        <v>0.125</v>
      </c>
      <c r="AG6" s="58">
        <v>0.2</v>
      </c>
      <c r="AH6" s="72"/>
      <c r="AI6" s="58">
        <v>0.83330000000000004</v>
      </c>
      <c r="AJ6" s="58">
        <v>0.16669999999999999</v>
      </c>
      <c r="AK6" s="58">
        <v>1</v>
      </c>
      <c r="AL6" s="58">
        <v>1</v>
      </c>
      <c r="AM6" s="58">
        <v>0.8</v>
      </c>
      <c r="AN6" s="58">
        <v>1</v>
      </c>
      <c r="AO6" s="58">
        <v>1</v>
      </c>
      <c r="AP6" s="58">
        <v>0.91666666666666696</v>
      </c>
      <c r="AQ6" s="58">
        <v>0</v>
      </c>
      <c r="AR6" s="58">
        <v>0.16666666666666699</v>
      </c>
      <c r="AS6" s="58">
        <v>0</v>
      </c>
      <c r="AT6" s="58">
        <v>0</v>
      </c>
      <c r="AU6" s="58">
        <v>0</v>
      </c>
      <c r="AV6" s="58">
        <v>0.27272727272727298</v>
      </c>
      <c r="AW6" s="58" t="s">
        <v>23</v>
      </c>
      <c r="AX6" s="58" t="s">
        <v>23</v>
      </c>
      <c r="AY6" s="58" t="s">
        <v>23</v>
      </c>
      <c r="AZ6" s="58" t="s">
        <v>23</v>
      </c>
      <c r="BA6" s="58" t="s">
        <v>23</v>
      </c>
      <c r="BB6" s="58" t="s">
        <v>23</v>
      </c>
      <c r="BC6" s="58">
        <v>0.27868852459016402</v>
      </c>
      <c r="BD6" s="58">
        <v>3.8152610441767099E-2</v>
      </c>
      <c r="BE6" s="58">
        <v>0.67307692307692302</v>
      </c>
      <c r="BF6" s="58">
        <v>0.133333333333333</v>
      </c>
      <c r="BG6" s="58">
        <v>0.105882352941176</v>
      </c>
      <c r="BH6" s="58">
        <v>9.8406747891283994E-2</v>
      </c>
      <c r="BI6" s="58" t="s">
        <v>2</v>
      </c>
      <c r="BJ6" s="58" t="s">
        <v>2</v>
      </c>
      <c r="BK6" s="58">
        <v>0.66320000000000001</v>
      </c>
      <c r="BL6" s="58">
        <v>0</v>
      </c>
      <c r="BM6" s="58">
        <v>2.1100000000000001E-2</v>
      </c>
      <c r="BN6" s="58">
        <v>1</v>
      </c>
      <c r="BO6" s="58" t="s">
        <v>23</v>
      </c>
      <c r="BP6" s="58">
        <v>1</v>
      </c>
      <c r="BQ6" s="58">
        <v>0.5</v>
      </c>
      <c r="BR6" s="58" t="s">
        <v>23</v>
      </c>
      <c r="BS6" s="58" t="s">
        <v>23</v>
      </c>
      <c r="BT6" s="58" t="s">
        <v>23</v>
      </c>
      <c r="BU6" s="58" t="s">
        <v>23</v>
      </c>
      <c r="BV6" s="58" t="s">
        <v>23</v>
      </c>
      <c r="BW6" s="58">
        <v>0.66669999999999996</v>
      </c>
      <c r="BX6" s="58">
        <v>0.66669999999999996</v>
      </c>
      <c r="BY6" s="58">
        <v>0.66669999999999996</v>
      </c>
      <c r="BZ6" s="58">
        <v>0.66669999999999996</v>
      </c>
      <c r="CA6" s="58">
        <v>0.5</v>
      </c>
      <c r="CB6" s="58">
        <v>0.66669999999999996</v>
      </c>
      <c r="CC6" s="58">
        <v>1</v>
      </c>
      <c r="CD6" s="85" t="s">
        <v>152</v>
      </c>
      <c r="CE6" s="85" t="s">
        <v>2</v>
      </c>
      <c r="CF6" s="58">
        <v>1</v>
      </c>
      <c r="CG6" s="58">
        <v>1</v>
      </c>
      <c r="CH6" s="58">
        <v>1</v>
      </c>
      <c r="CI6" s="58">
        <v>0</v>
      </c>
      <c r="CJ6" s="58">
        <v>0.66669999999999996</v>
      </c>
      <c r="CK6" s="58">
        <v>0.66669999999999996</v>
      </c>
      <c r="CL6" s="60">
        <v>24</v>
      </c>
      <c r="CM6" s="61">
        <v>42</v>
      </c>
      <c r="CN6" s="4"/>
    </row>
    <row r="7" spans="1:92" x14ac:dyDescent="0.25">
      <c r="A7" s="1" t="s">
        <v>26</v>
      </c>
      <c r="B7" s="2" t="s">
        <v>157</v>
      </c>
      <c r="C7" s="2" t="s">
        <v>231</v>
      </c>
      <c r="D7" s="2" t="s">
        <v>153</v>
      </c>
      <c r="E7" s="3">
        <v>29697</v>
      </c>
      <c r="F7" s="59">
        <v>3</v>
      </c>
      <c r="G7" s="59">
        <v>3</v>
      </c>
      <c r="H7" s="59">
        <v>3</v>
      </c>
      <c r="I7" s="59">
        <v>3</v>
      </c>
      <c r="J7" s="59">
        <v>3</v>
      </c>
      <c r="K7" s="59">
        <v>2</v>
      </c>
      <c r="L7" s="59">
        <v>3</v>
      </c>
      <c r="M7" s="59">
        <v>3</v>
      </c>
      <c r="N7" s="58">
        <v>0.62350000000000005</v>
      </c>
      <c r="O7" s="58">
        <v>0.65590000000000004</v>
      </c>
      <c r="P7" s="59">
        <v>3</v>
      </c>
      <c r="Q7" s="58">
        <v>0.1963</v>
      </c>
      <c r="R7" s="58">
        <v>0.21829999999999999</v>
      </c>
      <c r="S7" s="59">
        <v>3</v>
      </c>
      <c r="T7" s="58">
        <v>0.22509999999999999</v>
      </c>
      <c r="U7" s="58">
        <v>0.24210000000000001</v>
      </c>
      <c r="V7" s="59">
        <v>1</v>
      </c>
      <c r="W7" s="58">
        <v>0.22700000000000001</v>
      </c>
      <c r="X7" s="58">
        <v>0.1767</v>
      </c>
      <c r="Y7" s="59">
        <v>0</v>
      </c>
      <c r="Z7" s="58">
        <v>0.44440000000000002</v>
      </c>
      <c r="AA7" s="58">
        <v>0.53090000000000004</v>
      </c>
      <c r="AB7" s="59">
        <v>3</v>
      </c>
      <c r="AC7" s="58">
        <v>8.9099999999999999E-2</v>
      </c>
      <c r="AD7" s="58">
        <v>8.6699999999999999E-2</v>
      </c>
      <c r="AE7" s="59">
        <v>3</v>
      </c>
      <c r="AF7" s="58">
        <v>0.33700000000000002</v>
      </c>
      <c r="AG7" s="58">
        <v>0.52900000000000003</v>
      </c>
      <c r="AH7" s="72"/>
      <c r="AI7" s="58">
        <v>0.62350000000000005</v>
      </c>
      <c r="AJ7" s="58">
        <v>0.16470000000000001</v>
      </c>
      <c r="AK7" s="58">
        <v>0.99310344827586206</v>
      </c>
      <c r="AL7" s="58">
        <v>0.96296296296296302</v>
      </c>
      <c r="AM7" s="58">
        <v>0.961165048543689</v>
      </c>
      <c r="AN7" s="58">
        <v>0.99310344827586206</v>
      </c>
      <c r="AO7" s="58">
        <v>0.96296296296296302</v>
      </c>
      <c r="AP7" s="58">
        <v>0.98148148148148195</v>
      </c>
      <c r="AQ7" s="58">
        <v>0.32089552238806002</v>
      </c>
      <c r="AR7" s="58">
        <v>0.101694915254237</v>
      </c>
      <c r="AS7" s="58">
        <v>0.550561797752809</v>
      </c>
      <c r="AT7" s="58">
        <v>0.37313432835820898</v>
      </c>
      <c r="AU7" s="58">
        <v>9.3220338983050793E-2</v>
      </c>
      <c r="AV7" s="58">
        <v>0.33333333333333298</v>
      </c>
      <c r="AW7" s="58">
        <v>0.6</v>
      </c>
      <c r="AX7" s="58">
        <v>0.5</v>
      </c>
      <c r="AY7" s="58">
        <v>0.6</v>
      </c>
      <c r="AZ7" s="58">
        <v>0.7</v>
      </c>
      <c r="BA7" s="58">
        <v>0.5</v>
      </c>
      <c r="BB7" s="58">
        <v>0.5</v>
      </c>
      <c r="BC7" s="58">
        <v>0.35151827071538899</v>
      </c>
      <c r="BD7" s="58">
        <v>0.47872466516534301</v>
      </c>
      <c r="BE7" s="58">
        <v>0.34894192433155802</v>
      </c>
      <c r="BF7" s="58">
        <v>0.29795320479829002</v>
      </c>
      <c r="BG7" s="58">
        <v>0.34085200640784802</v>
      </c>
      <c r="BH7" s="58">
        <v>0.33737723859041002</v>
      </c>
      <c r="BI7" s="58" t="s">
        <v>152</v>
      </c>
      <c r="BJ7" s="58" t="s">
        <v>152</v>
      </c>
      <c r="BK7" s="58">
        <v>0.69689999999999996</v>
      </c>
      <c r="BL7" s="58">
        <v>0.1767</v>
      </c>
      <c r="BM7" s="58">
        <v>9.1000000000000004E-3</v>
      </c>
      <c r="BN7" s="58">
        <v>6.4500000000000002E-2</v>
      </c>
      <c r="BO7" s="58">
        <v>0.6774</v>
      </c>
      <c r="BP7" s="58">
        <v>0.44440000000000002</v>
      </c>
      <c r="BQ7" s="58">
        <v>0.439</v>
      </c>
      <c r="BR7" s="58">
        <v>0.439</v>
      </c>
      <c r="BS7" s="58">
        <v>0</v>
      </c>
      <c r="BT7" s="58">
        <v>0</v>
      </c>
      <c r="BU7" s="58">
        <v>0</v>
      </c>
      <c r="BV7" s="58" t="s">
        <v>23</v>
      </c>
      <c r="BW7" s="58">
        <v>0.87760000000000005</v>
      </c>
      <c r="BX7" s="58">
        <v>0.48180000000000001</v>
      </c>
      <c r="BY7" s="58">
        <v>0.84519999999999995</v>
      </c>
      <c r="BZ7" s="58">
        <v>0.58179999999999998</v>
      </c>
      <c r="CA7" s="58">
        <v>0.84930000000000005</v>
      </c>
      <c r="CB7" s="58">
        <v>0.62729999999999997</v>
      </c>
      <c r="CC7" s="58">
        <v>0.97960000000000003</v>
      </c>
      <c r="CD7" s="85" t="s">
        <v>2</v>
      </c>
      <c r="CE7" s="85" t="s">
        <v>2</v>
      </c>
      <c r="CF7" s="58">
        <v>1</v>
      </c>
      <c r="CG7" s="58">
        <v>1</v>
      </c>
      <c r="CH7" s="58">
        <v>1</v>
      </c>
      <c r="CI7" s="58">
        <v>0.26090000000000002</v>
      </c>
      <c r="CJ7" s="58">
        <v>0.6522</v>
      </c>
      <c r="CK7" s="58">
        <v>0.6522</v>
      </c>
      <c r="CL7" s="60">
        <v>36</v>
      </c>
      <c r="CM7" s="61">
        <v>42</v>
      </c>
      <c r="CN7" s="4"/>
    </row>
    <row r="8" spans="1:92" x14ac:dyDescent="0.25">
      <c r="A8" s="1" t="s">
        <v>27</v>
      </c>
      <c r="B8" s="2" t="s">
        <v>158</v>
      </c>
      <c r="C8" s="2" t="s">
        <v>232</v>
      </c>
      <c r="D8" s="2" t="s">
        <v>153</v>
      </c>
      <c r="E8" s="3">
        <v>29654</v>
      </c>
      <c r="F8" s="59">
        <v>3</v>
      </c>
      <c r="G8" s="59">
        <v>3</v>
      </c>
      <c r="H8" s="59">
        <v>3</v>
      </c>
      <c r="I8" s="59">
        <v>3</v>
      </c>
      <c r="J8" s="59">
        <v>2</v>
      </c>
      <c r="K8" s="59">
        <v>3</v>
      </c>
      <c r="L8" s="59">
        <v>3</v>
      </c>
      <c r="M8" s="59">
        <v>2</v>
      </c>
      <c r="N8" s="58">
        <v>0.66669999999999996</v>
      </c>
      <c r="O8" s="58">
        <v>0.59089999999999998</v>
      </c>
      <c r="P8" s="59">
        <v>3</v>
      </c>
      <c r="Q8" s="58">
        <v>0.19120000000000001</v>
      </c>
      <c r="R8" s="58">
        <v>0.28570000000000001</v>
      </c>
      <c r="S8" s="59">
        <v>3</v>
      </c>
      <c r="T8" s="58">
        <v>0.15939999999999999</v>
      </c>
      <c r="U8" s="58">
        <v>0.25269999999999998</v>
      </c>
      <c r="V8" s="59">
        <v>3</v>
      </c>
      <c r="W8" s="58">
        <v>0.126</v>
      </c>
      <c r="X8" s="58">
        <v>0.1089</v>
      </c>
      <c r="Y8" s="59">
        <v>0</v>
      </c>
      <c r="Z8" s="58">
        <v>0.21429999999999999</v>
      </c>
      <c r="AA8" s="58">
        <v>0.35709999999999997</v>
      </c>
      <c r="AB8" s="59">
        <v>2</v>
      </c>
      <c r="AC8" s="58">
        <v>7.3599999999999999E-2</v>
      </c>
      <c r="AD8" s="58">
        <v>0.12809999999999999</v>
      </c>
      <c r="AE8" s="59">
        <v>3</v>
      </c>
      <c r="AF8" s="58">
        <v>0.45200000000000001</v>
      </c>
      <c r="AG8" s="58">
        <v>0.38500000000000001</v>
      </c>
      <c r="AH8" s="72"/>
      <c r="AI8" s="58">
        <v>0.66669999999999996</v>
      </c>
      <c r="AJ8" s="58">
        <v>0.29170000000000001</v>
      </c>
      <c r="AK8" s="58">
        <v>1</v>
      </c>
      <c r="AL8" s="58">
        <v>0.94285714285714295</v>
      </c>
      <c r="AM8" s="58">
        <v>0.97297297297297303</v>
      </c>
      <c r="AN8" s="58">
        <v>1</v>
      </c>
      <c r="AO8" s="58">
        <v>0.94285714285714295</v>
      </c>
      <c r="AP8" s="58">
        <v>0.97435897435897401</v>
      </c>
      <c r="AQ8" s="58">
        <v>0.37288135593220301</v>
      </c>
      <c r="AR8" s="58">
        <v>0.125</v>
      </c>
      <c r="AS8" s="58">
        <v>0.67741935483870996</v>
      </c>
      <c r="AT8" s="58">
        <v>0.322033898305085</v>
      </c>
      <c r="AU8" s="58">
        <v>0.125</v>
      </c>
      <c r="AV8" s="58">
        <v>0.62068965517241403</v>
      </c>
      <c r="AW8" s="58">
        <v>0.66666666666666696</v>
      </c>
      <c r="AX8" s="58">
        <v>0</v>
      </c>
      <c r="AY8" s="58">
        <v>0.6</v>
      </c>
      <c r="AZ8" s="58">
        <v>0.33333333333333298</v>
      </c>
      <c r="BA8" s="58">
        <v>1</v>
      </c>
      <c r="BB8" s="58">
        <v>0.55555555555555602</v>
      </c>
      <c r="BC8" s="58">
        <v>0.22126090348202301</v>
      </c>
      <c r="BD8" s="58">
        <v>0.36954545454545501</v>
      </c>
      <c r="BE8" s="58">
        <v>0.199292973928414</v>
      </c>
      <c r="BF8" s="58">
        <v>0.25118785901709101</v>
      </c>
      <c r="BG8" s="58">
        <v>0.169545454545455</v>
      </c>
      <c r="BH8" s="58">
        <v>0.204782042940794</v>
      </c>
      <c r="BI8" s="58" t="s">
        <v>2</v>
      </c>
      <c r="BJ8" s="58" t="s">
        <v>2</v>
      </c>
      <c r="BK8" s="58">
        <v>0.77680000000000005</v>
      </c>
      <c r="BL8" s="58">
        <v>0.1089</v>
      </c>
      <c r="BM8" s="58">
        <v>7.4000000000000003E-3</v>
      </c>
      <c r="BN8" s="58">
        <v>0.2</v>
      </c>
      <c r="BO8" s="58">
        <v>0.6</v>
      </c>
      <c r="BP8" s="58">
        <v>0.5</v>
      </c>
      <c r="BQ8" s="58">
        <v>0.21049999999999999</v>
      </c>
      <c r="BR8" s="58">
        <v>0.31580000000000003</v>
      </c>
      <c r="BS8" s="58">
        <v>5.2600000000000001E-2</v>
      </c>
      <c r="BT8" s="58" t="s">
        <v>23</v>
      </c>
      <c r="BU8" s="58">
        <v>5.2600000000000001E-2</v>
      </c>
      <c r="BV8" s="58" t="s">
        <v>23</v>
      </c>
      <c r="BW8" s="58">
        <v>0.86960000000000004</v>
      </c>
      <c r="BX8" s="58">
        <v>0.41670000000000001</v>
      </c>
      <c r="BY8" s="58">
        <v>0.85709999999999997</v>
      </c>
      <c r="BZ8" s="58">
        <v>0.58330000000000004</v>
      </c>
      <c r="CA8" s="58">
        <v>0.88890000000000002</v>
      </c>
      <c r="CB8" s="58">
        <v>0.70830000000000004</v>
      </c>
      <c r="CC8" s="58" t="s">
        <v>23</v>
      </c>
      <c r="CD8" s="85" t="s">
        <v>2</v>
      </c>
      <c r="CE8" s="85" t="s">
        <v>2</v>
      </c>
      <c r="CF8" s="58">
        <v>0.95879999999999999</v>
      </c>
      <c r="CG8" s="58">
        <v>1</v>
      </c>
      <c r="CH8" s="58">
        <v>1</v>
      </c>
      <c r="CI8" s="58">
        <v>0.33329999999999999</v>
      </c>
      <c r="CJ8" s="58">
        <v>0.66669999999999996</v>
      </c>
      <c r="CK8" s="58">
        <v>1</v>
      </c>
      <c r="CL8" s="60">
        <v>36</v>
      </c>
      <c r="CM8" s="61">
        <v>42</v>
      </c>
      <c r="CN8" s="4"/>
    </row>
    <row r="9" spans="1:92" x14ac:dyDescent="0.25">
      <c r="A9" s="1" t="s">
        <v>28</v>
      </c>
      <c r="B9" s="2" t="s">
        <v>159</v>
      </c>
      <c r="C9" s="2" t="s">
        <v>233</v>
      </c>
      <c r="D9" s="2" t="s">
        <v>153</v>
      </c>
      <c r="E9" s="3">
        <v>29655</v>
      </c>
      <c r="F9" s="59">
        <v>3</v>
      </c>
      <c r="G9" s="59">
        <v>3</v>
      </c>
      <c r="H9" s="59">
        <v>3</v>
      </c>
      <c r="I9" s="59">
        <v>3</v>
      </c>
      <c r="J9" s="59">
        <v>3</v>
      </c>
      <c r="K9" s="59">
        <v>3</v>
      </c>
      <c r="L9" s="59">
        <v>3</v>
      </c>
      <c r="M9" s="59">
        <v>2</v>
      </c>
      <c r="N9" s="58">
        <v>0.35289999999999999</v>
      </c>
      <c r="O9" s="58">
        <v>0.53849999999999998</v>
      </c>
      <c r="P9" s="59">
        <v>3</v>
      </c>
      <c r="Q9" s="58">
        <v>0.21540000000000001</v>
      </c>
      <c r="R9" s="58">
        <v>0.1754</v>
      </c>
      <c r="S9" s="59">
        <v>3</v>
      </c>
      <c r="T9" s="58">
        <v>0.16919999999999999</v>
      </c>
      <c r="U9" s="58">
        <v>0.1754</v>
      </c>
      <c r="V9" s="59">
        <v>1</v>
      </c>
      <c r="W9" s="58">
        <v>0.2485</v>
      </c>
      <c r="X9" s="58">
        <v>0.1903</v>
      </c>
      <c r="Y9" s="59">
        <v>1</v>
      </c>
      <c r="Z9" s="58">
        <v>0.5</v>
      </c>
      <c r="AA9" s="58">
        <v>0.42859999999999998</v>
      </c>
      <c r="AB9" s="59">
        <v>0</v>
      </c>
      <c r="AC9" s="58">
        <v>0.10059999999999999</v>
      </c>
      <c r="AD9" s="58">
        <v>0.15679999999999999</v>
      </c>
      <c r="AE9" s="59">
        <v>3</v>
      </c>
      <c r="AF9" s="58">
        <v>0.13300000000000001</v>
      </c>
      <c r="AG9" s="58">
        <v>0.5</v>
      </c>
      <c r="AH9" s="72"/>
      <c r="AI9" s="58">
        <v>0.35289999999999999</v>
      </c>
      <c r="AJ9" s="58">
        <v>0.23530000000000001</v>
      </c>
      <c r="AK9" s="58">
        <v>1</v>
      </c>
      <c r="AL9" s="58">
        <v>1</v>
      </c>
      <c r="AM9" s="58">
        <v>0.96</v>
      </c>
      <c r="AN9" s="58">
        <v>1</v>
      </c>
      <c r="AO9" s="58">
        <v>1</v>
      </c>
      <c r="AP9" s="58">
        <v>1</v>
      </c>
      <c r="AQ9" s="58">
        <v>0.32142857142857101</v>
      </c>
      <c r="AR9" s="58">
        <v>3.4482758620689703E-2</v>
      </c>
      <c r="AS9" s="58">
        <v>0.57142857142857095</v>
      </c>
      <c r="AT9" s="58">
        <v>0.32142857142857101</v>
      </c>
      <c r="AU9" s="58">
        <v>3.4482758620689703E-2</v>
      </c>
      <c r="AV9" s="58">
        <v>0.32</v>
      </c>
      <c r="AW9" s="58">
        <v>1</v>
      </c>
      <c r="AX9" s="58">
        <v>0.66666666666666696</v>
      </c>
      <c r="AY9" s="58">
        <v>0.33333333333333298</v>
      </c>
      <c r="AZ9" s="58">
        <v>1</v>
      </c>
      <c r="BA9" s="58">
        <v>0.66666666666666696</v>
      </c>
      <c r="BB9" s="58" t="s">
        <v>23</v>
      </c>
      <c r="BC9" s="58">
        <v>0.34884169884169902</v>
      </c>
      <c r="BD9" s="58">
        <v>0.39038770770055398</v>
      </c>
      <c r="BE9" s="58">
        <v>0.33333333333333298</v>
      </c>
      <c r="BF9" s="58">
        <v>0.32722007722007701</v>
      </c>
      <c r="BG9" s="58">
        <v>0.24012864034304099</v>
      </c>
      <c r="BH9" s="58">
        <v>0.35857142857142899</v>
      </c>
      <c r="BI9" s="58" t="s">
        <v>2</v>
      </c>
      <c r="BJ9" s="58" t="s">
        <v>2</v>
      </c>
      <c r="BK9" s="58">
        <v>0.71899999999999997</v>
      </c>
      <c r="BL9" s="58">
        <v>0.1903</v>
      </c>
      <c r="BM9" s="58">
        <v>6.0000000000000001E-3</v>
      </c>
      <c r="BN9" s="58">
        <v>0.33329999999999999</v>
      </c>
      <c r="BO9" s="58">
        <v>0.33329999999999999</v>
      </c>
      <c r="BP9" s="58" t="s">
        <v>23</v>
      </c>
      <c r="BQ9" s="58">
        <v>0.66669999999999996</v>
      </c>
      <c r="BR9" s="58">
        <v>0.33329999999999999</v>
      </c>
      <c r="BS9" s="58" t="s">
        <v>23</v>
      </c>
      <c r="BT9" s="58">
        <v>0.33329999999999999</v>
      </c>
      <c r="BU9" s="58" t="s">
        <v>23</v>
      </c>
      <c r="BV9" s="58" t="s">
        <v>23</v>
      </c>
      <c r="BW9" s="58">
        <v>0.875</v>
      </c>
      <c r="BX9" s="58">
        <v>0.35289999999999999</v>
      </c>
      <c r="BY9" s="58">
        <v>0.76470000000000005</v>
      </c>
      <c r="BZ9" s="58">
        <v>0.23530000000000001</v>
      </c>
      <c r="CA9" s="58">
        <v>0.8125</v>
      </c>
      <c r="CB9" s="58">
        <v>0.47060000000000002</v>
      </c>
      <c r="CC9" s="58">
        <v>1</v>
      </c>
      <c r="CD9" s="85" t="s">
        <v>2</v>
      </c>
      <c r="CE9" s="85" t="s">
        <v>2</v>
      </c>
      <c r="CF9" s="58">
        <v>1</v>
      </c>
      <c r="CG9" s="58" t="s">
        <v>23</v>
      </c>
      <c r="CH9" s="58">
        <v>1</v>
      </c>
      <c r="CI9" s="58">
        <v>0.33329999999999999</v>
      </c>
      <c r="CJ9" s="58">
        <v>0.5</v>
      </c>
      <c r="CK9" s="58">
        <v>0.5</v>
      </c>
      <c r="CL9" s="60">
        <v>34</v>
      </c>
      <c r="CM9" s="61">
        <v>42</v>
      </c>
      <c r="CN9" s="4"/>
    </row>
    <row r="10" spans="1:92" x14ac:dyDescent="0.25">
      <c r="A10" s="1" t="s">
        <v>29</v>
      </c>
      <c r="B10" s="2" t="s">
        <v>160</v>
      </c>
      <c r="C10" s="2" t="s">
        <v>234</v>
      </c>
      <c r="D10" s="2" t="s">
        <v>153</v>
      </c>
      <c r="E10" s="3">
        <v>29670</v>
      </c>
      <c r="F10" s="59">
        <v>3</v>
      </c>
      <c r="G10" s="59">
        <v>3</v>
      </c>
      <c r="H10" s="59">
        <v>3</v>
      </c>
      <c r="I10" s="59">
        <v>3</v>
      </c>
      <c r="J10" s="59">
        <v>3</v>
      </c>
      <c r="K10" s="59">
        <v>3</v>
      </c>
      <c r="L10" s="59">
        <v>3</v>
      </c>
      <c r="M10" s="59">
        <v>3</v>
      </c>
      <c r="N10" s="58">
        <v>0.68289999999999995</v>
      </c>
      <c r="O10" s="58">
        <v>0.63639999999999997</v>
      </c>
      <c r="P10" s="59">
        <v>3</v>
      </c>
      <c r="Q10" s="58">
        <v>0.28849999999999998</v>
      </c>
      <c r="R10" s="58">
        <v>0.16950000000000001</v>
      </c>
      <c r="S10" s="59">
        <v>0</v>
      </c>
      <c r="T10" s="58">
        <v>0.23080000000000001</v>
      </c>
      <c r="U10" s="58">
        <v>0.1017</v>
      </c>
      <c r="V10" s="59">
        <v>0</v>
      </c>
      <c r="W10" s="58">
        <v>0.1794</v>
      </c>
      <c r="X10" s="58">
        <v>0.18160000000000001</v>
      </c>
      <c r="Y10" s="59">
        <v>3</v>
      </c>
      <c r="Z10" s="58">
        <v>0.16669999999999999</v>
      </c>
      <c r="AA10" s="58">
        <v>0.27779999999999999</v>
      </c>
      <c r="AB10" s="59">
        <v>3</v>
      </c>
      <c r="AC10" s="58">
        <v>7.6200000000000004E-2</v>
      </c>
      <c r="AD10" s="58">
        <v>4.7500000000000001E-2</v>
      </c>
      <c r="AE10" s="59">
        <v>3</v>
      </c>
      <c r="AF10" s="58">
        <v>0.24399999999999999</v>
      </c>
      <c r="AG10" s="58">
        <v>0.32300000000000001</v>
      </c>
      <c r="AH10" s="72"/>
      <c r="AI10" s="58">
        <v>0.68289999999999995</v>
      </c>
      <c r="AJ10" s="58">
        <v>0.24390000000000001</v>
      </c>
      <c r="AK10" s="58">
        <v>1</v>
      </c>
      <c r="AL10" s="58">
        <v>1</v>
      </c>
      <c r="AM10" s="58">
        <v>1</v>
      </c>
      <c r="AN10" s="58">
        <v>1</v>
      </c>
      <c r="AO10" s="58">
        <v>1</v>
      </c>
      <c r="AP10" s="58">
        <v>1</v>
      </c>
      <c r="AQ10" s="58">
        <v>0.25</v>
      </c>
      <c r="AR10" s="58">
        <v>7.4074074074074098E-2</v>
      </c>
      <c r="AS10" s="58">
        <v>0.55555555555555602</v>
      </c>
      <c r="AT10" s="58">
        <v>0.1875</v>
      </c>
      <c r="AU10" s="58">
        <v>0</v>
      </c>
      <c r="AV10" s="58">
        <v>0.54545454545454497</v>
      </c>
      <c r="AW10" s="58">
        <v>0.5</v>
      </c>
      <c r="AX10" s="58">
        <v>1</v>
      </c>
      <c r="AY10" s="58" t="s">
        <v>23</v>
      </c>
      <c r="AZ10" s="58">
        <v>0.5</v>
      </c>
      <c r="BA10" s="58">
        <v>1</v>
      </c>
      <c r="BB10" s="58">
        <v>0.5</v>
      </c>
      <c r="BC10" s="58">
        <v>0.37626262626262602</v>
      </c>
      <c r="BD10" s="58">
        <v>0.48054777466542198</v>
      </c>
      <c r="BE10" s="58">
        <v>0.36044444444444401</v>
      </c>
      <c r="BF10" s="58">
        <v>0.41048994974874398</v>
      </c>
      <c r="BG10" s="58">
        <v>0.40336134453781503</v>
      </c>
      <c r="BH10" s="58">
        <v>0.201604278074866</v>
      </c>
      <c r="BI10" s="58" t="s">
        <v>2</v>
      </c>
      <c r="BJ10" s="58" t="s">
        <v>2</v>
      </c>
      <c r="BK10" s="58">
        <v>0.7571</v>
      </c>
      <c r="BL10" s="58">
        <v>0.18160000000000001</v>
      </c>
      <c r="BM10" s="58">
        <v>2.12E-2</v>
      </c>
      <c r="BN10" s="58">
        <v>0.5</v>
      </c>
      <c r="BO10" s="58">
        <v>0.33329999999999999</v>
      </c>
      <c r="BP10" s="58" t="s">
        <v>23</v>
      </c>
      <c r="BQ10" s="58">
        <v>0.33329999999999999</v>
      </c>
      <c r="BR10" s="58">
        <v>0.33329999999999999</v>
      </c>
      <c r="BS10" s="58" t="s">
        <v>23</v>
      </c>
      <c r="BT10" s="58">
        <v>0.16669999999999999</v>
      </c>
      <c r="BU10" s="58" t="s">
        <v>23</v>
      </c>
      <c r="BV10" s="58" t="s">
        <v>23</v>
      </c>
      <c r="BW10" s="58">
        <v>0.9</v>
      </c>
      <c r="BX10" s="58">
        <v>0.6774</v>
      </c>
      <c r="BY10" s="58">
        <v>0.9</v>
      </c>
      <c r="BZ10" s="58">
        <v>0.6452</v>
      </c>
      <c r="CA10" s="58">
        <v>1</v>
      </c>
      <c r="CB10" s="58">
        <v>0.9032</v>
      </c>
      <c r="CC10" s="58">
        <v>1</v>
      </c>
      <c r="CD10" s="85" t="s">
        <v>2</v>
      </c>
      <c r="CE10" s="85" t="s">
        <v>2</v>
      </c>
      <c r="CF10" s="58">
        <v>1</v>
      </c>
      <c r="CG10" s="58">
        <v>1</v>
      </c>
      <c r="CH10" s="58">
        <v>1</v>
      </c>
      <c r="CI10" s="58">
        <v>0.18179999999999999</v>
      </c>
      <c r="CJ10" s="58">
        <v>0.63639999999999997</v>
      </c>
      <c r="CK10" s="58">
        <v>0.72729999999999995</v>
      </c>
      <c r="CL10" s="60">
        <v>36</v>
      </c>
      <c r="CM10" s="61">
        <v>42</v>
      </c>
      <c r="CN10" s="4"/>
    </row>
    <row r="11" spans="1:92" x14ac:dyDescent="0.25">
      <c r="A11" s="1" t="s">
        <v>30</v>
      </c>
      <c r="B11" s="2" t="s">
        <v>161</v>
      </c>
      <c r="C11" s="2" t="s">
        <v>235</v>
      </c>
      <c r="D11" s="2" t="s">
        <v>153</v>
      </c>
      <c r="E11" s="3">
        <v>29625</v>
      </c>
      <c r="F11" s="59">
        <v>3</v>
      </c>
      <c r="G11" s="59">
        <v>3</v>
      </c>
      <c r="H11" s="59">
        <v>3</v>
      </c>
      <c r="I11" s="59">
        <v>3</v>
      </c>
      <c r="J11" s="59">
        <v>2</v>
      </c>
      <c r="K11" s="59">
        <v>3</v>
      </c>
      <c r="L11" s="59">
        <v>3</v>
      </c>
      <c r="M11" s="59">
        <v>0</v>
      </c>
      <c r="N11" s="58">
        <v>0.58819999999999995</v>
      </c>
      <c r="O11" s="58">
        <v>0.45540000000000003</v>
      </c>
      <c r="P11" s="59">
        <v>3</v>
      </c>
      <c r="Q11" s="58">
        <v>0.16</v>
      </c>
      <c r="R11" s="58">
        <v>0.16669999999999999</v>
      </c>
      <c r="S11" s="59">
        <v>3</v>
      </c>
      <c r="T11" s="58">
        <v>0.17879999999999999</v>
      </c>
      <c r="U11" s="58">
        <v>0.1444</v>
      </c>
      <c r="V11" s="59">
        <v>1</v>
      </c>
      <c r="W11" s="58">
        <v>0.192</v>
      </c>
      <c r="X11" s="58">
        <v>0.18240000000000001</v>
      </c>
      <c r="Y11" s="59">
        <v>3</v>
      </c>
      <c r="Z11" s="58">
        <v>0.19189999999999999</v>
      </c>
      <c r="AA11" s="58">
        <v>0.21</v>
      </c>
      <c r="AB11" s="59">
        <v>2</v>
      </c>
      <c r="AC11" s="58">
        <v>6.9699999999999998E-2</v>
      </c>
      <c r="AD11" s="58">
        <v>0.14599999999999999</v>
      </c>
      <c r="AE11" s="59">
        <v>1</v>
      </c>
      <c r="AF11" s="58">
        <v>0.154</v>
      </c>
      <c r="AG11" s="58">
        <v>0.23200000000000001</v>
      </c>
      <c r="AH11" s="72"/>
      <c r="AI11" s="58">
        <v>0.58819999999999995</v>
      </c>
      <c r="AJ11" s="58">
        <v>0.39710000000000001</v>
      </c>
      <c r="AK11" s="58">
        <v>0.967741935483871</v>
      </c>
      <c r="AL11" s="58">
        <v>0.98290598290598297</v>
      </c>
      <c r="AM11" s="58">
        <v>0.97674418604651203</v>
      </c>
      <c r="AN11" s="58">
        <v>0.967741935483871</v>
      </c>
      <c r="AO11" s="58">
        <v>0.98290598290598297</v>
      </c>
      <c r="AP11" s="58">
        <v>0.93814432989690699</v>
      </c>
      <c r="AQ11" s="58">
        <v>0.234939759036145</v>
      </c>
      <c r="AR11" s="58">
        <v>5.7692307692307702E-2</v>
      </c>
      <c r="AS11" s="58">
        <v>0.36134453781512599</v>
      </c>
      <c r="AT11" s="58">
        <v>0.210843373493976</v>
      </c>
      <c r="AU11" s="58">
        <v>3.8461538461538498E-2</v>
      </c>
      <c r="AV11" s="58">
        <v>0.273809523809524</v>
      </c>
      <c r="AW11" s="58">
        <v>0.35714285714285698</v>
      </c>
      <c r="AX11" s="58">
        <v>0.18181818181818199</v>
      </c>
      <c r="AY11" s="58">
        <v>0.42857142857142899</v>
      </c>
      <c r="AZ11" s="58">
        <v>0.214285714285714</v>
      </c>
      <c r="BA11" s="58">
        <v>0.36363636363636398</v>
      </c>
      <c r="BB11" s="58">
        <v>0.14285714285714299</v>
      </c>
      <c r="BC11" s="58">
        <v>0.275986359590286</v>
      </c>
      <c r="BD11" s="58">
        <v>0.45037220843672499</v>
      </c>
      <c r="BE11" s="58">
        <v>0.45919488127201102</v>
      </c>
      <c r="BF11" s="58">
        <v>0.259500018805712</v>
      </c>
      <c r="BG11" s="58">
        <v>0.36133705166937802</v>
      </c>
      <c r="BH11" s="58">
        <v>0.28223443223443201</v>
      </c>
      <c r="BI11" s="58" t="s">
        <v>2</v>
      </c>
      <c r="BJ11" s="58" t="s">
        <v>2</v>
      </c>
      <c r="BK11" s="58">
        <v>0.71240000000000003</v>
      </c>
      <c r="BL11" s="58">
        <v>0.18240000000000001</v>
      </c>
      <c r="BM11" s="58">
        <v>5.7000000000000002E-3</v>
      </c>
      <c r="BN11" s="58">
        <v>9.5200000000000007E-2</v>
      </c>
      <c r="BO11" s="58">
        <v>0.21429999999999999</v>
      </c>
      <c r="BP11" s="58">
        <v>0.54549999999999998</v>
      </c>
      <c r="BQ11" s="58">
        <v>0.46810000000000002</v>
      </c>
      <c r="BR11" s="58">
        <v>0.1915</v>
      </c>
      <c r="BS11" s="58">
        <v>0</v>
      </c>
      <c r="BT11" s="58">
        <v>0</v>
      </c>
      <c r="BU11" s="58">
        <v>0</v>
      </c>
      <c r="BV11" s="58">
        <v>0</v>
      </c>
      <c r="BW11" s="58">
        <v>0.82609999999999995</v>
      </c>
      <c r="BX11" s="58">
        <v>0.59089999999999998</v>
      </c>
      <c r="BY11" s="58">
        <v>0.76400000000000001</v>
      </c>
      <c r="BZ11" s="58">
        <v>0.57579999999999998</v>
      </c>
      <c r="CA11" s="58">
        <v>0.87180000000000002</v>
      </c>
      <c r="CB11" s="58">
        <v>0.67420000000000002</v>
      </c>
      <c r="CC11" s="58">
        <v>0.9677</v>
      </c>
      <c r="CD11" s="85" t="s">
        <v>2</v>
      </c>
      <c r="CE11" s="85" t="s">
        <v>2</v>
      </c>
      <c r="CF11" s="58">
        <v>0.99429999999999996</v>
      </c>
      <c r="CG11" s="58">
        <v>1</v>
      </c>
      <c r="CH11" s="58">
        <v>1</v>
      </c>
      <c r="CI11" s="58">
        <v>0.15</v>
      </c>
      <c r="CJ11" s="58">
        <v>0.7</v>
      </c>
      <c r="CK11" s="58">
        <v>0.8</v>
      </c>
      <c r="CL11" s="60">
        <v>33</v>
      </c>
      <c r="CM11" s="61">
        <v>42</v>
      </c>
      <c r="CN11" s="4"/>
    </row>
    <row r="12" spans="1:92" x14ac:dyDescent="0.25">
      <c r="A12" s="1" t="s">
        <v>31</v>
      </c>
      <c r="B12" s="2" t="s">
        <v>162</v>
      </c>
      <c r="C12" s="2" t="s">
        <v>236</v>
      </c>
      <c r="D12" s="2" t="s">
        <v>153</v>
      </c>
      <c r="E12" s="3">
        <v>29003</v>
      </c>
      <c r="F12" s="59">
        <v>3</v>
      </c>
      <c r="G12" s="59">
        <v>3</v>
      </c>
      <c r="H12" s="59">
        <v>3</v>
      </c>
      <c r="I12" s="59">
        <v>3</v>
      </c>
      <c r="J12" s="59">
        <v>3</v>
      </c>
      <c r="K12" s="59">
        <v>3</v>
      </c>
      <c r="L12" s="59">
        <v>3</v>
      </c>
      <c r="M12" s="59">
        <v>2</v>
      </c>
      <c r="N12" s="58">
        <v>0.71430000000000005</v>
      </c>
      <c r="O12" s="58">
        <v>0.53849999999999998</v>
      </c>
      <c r="P12" s="59">
        <v>0</v>
      </c>
      <c r="Q12" s="58">
        <v>0</v>
      </c>
      <c r="R12" s="58">
        <v>0</v>
      </c>
      <c r="S12" s="59">
        <v>1</v>
      </c>
      <c r="T12" s="58">
        <v>5.5599999999999997E-2</v>
      </c>
      <c r="U12" s="58">
        <v>5.8799999999999998E-2</v>
      </c>
      <c r="V12" s="59">
        <v>3</v>
      </c>
      <c r="W12" s="58">
        <v>0</v>
      </c>
      <c r="X12" s="58">
        <v>3.6200000000000003E-2</v>
      </c>
      <c r="Y12" s="59">
        <v>3</v>
      </c>
      <c r="Z12" s="58">
        <v>0</v>
      </c>
      <c r="AA12" s="58">
        <v>0.3</v>
      </c>
      <c r="AB12" s="59">
        <v>2</v>
      </c>
      <c r="AC12" s="58">
        <v>4.0500000000000001E-2</v>
      </c>
      <c r="AD12" s="58">
        <v>0.1081</v>
      </c>
      <c r="AE12" s="59">
        <v>1</v>
      </c>
      <c r="AF12" s="58">
        <v>6.7000000000000004E-2</v>
      </c>
      <c r="AG12" s="58">
        <v>8.3000000000000004E-2</v>
      </c>
      <c r="AH12" s="72"/>
      <c r="AI12" s="58">
        <v>0.71430000000000005</v>
      </c>
      <c r="AJ12" s="58">
        <v>0.1429</v>
      </c>
      <c r="AK12" s="58">
        <v>1</v>
      </c>
      <c r="AL12" s="58">
        <v>1</v>
      </c>
      <c r="AM12" s="58">
        <v>1</v>
      </c>
      <c r="AN12" s="58">
        <v>1</v>
      </c>
      <c r="AO12" s="58">
        <v>1</v>
      </c>
      <c r="AP12" s="58">
        <v>1</v>
      </c>
      <c r="AQ12" s="58">
        <v>0</v>
      </c>
      <c r="AR12" s="58">
        <v>0</v>
      </c>
      <c r="AS12" s="58">
        <v>0.28571428571428598</v>
      </c>
      <c r="AT12" s="58">
        <v>0</v>
      </c>
      <c r="AU12" s="58">
        <v>0.125</v>
      </c>
      <c r="AV12" s="58">
        <v>0.28571428571428598</v>
      </c>
      <c r="AW12" s="58" t="s">
        <v>23</v>
      </c>
      <c r="AX12" s="58">
        <v>1</v>
      </c>
      <c r="AY12" s="58">
        <v>0</v>
      </c>
      <c r="AZ12" s="58" t="s">
        <v>23</v>
      </c>
      <c r="BA12" s="58">
        <v>1</v>
      </c>
      <c r="BB12" s="58">
        <v>0</v>
      </c>
      <c r="BC12" s="58">
        <v>0.27956989247311798</v>
      </c>
      <c r="BD12" s="58">
        <v>0.29670329670329698</v>
      </c>
      <c r="BE12" s="58">
        <v>0.36904761904761901</v>
      </c>
      <c r="BF12" s="58">
        <v>0.29032258064516098</v>
      </c>
      <c r="BG12" s="58">
        <v>0.215659340659341</v>
      </c>
      <c r="BH12" s="58">
        <v>0.34115138592750499</v>
      </c>
      <c r="BI12" s="58" t="s">
        <v>2</v>
      </c>
      <c r="BJ12" s="58" t="s">
        <v>2</v>
      </c>
      <c r="BK12" s="58">
        <v>0.63770000000000004</v>
      </c>
      <c r="BL12" s="58">
        <v>3.6200000000000003E-2</v>
      </c>
      <c r="BM12" s="58">
        <v>1.4500000000000001E-2</v>
      </c>
      <c r="BN12" s="58" t="s">
        <v>23</v>
      </c>
      <c r="BO12" s="58">
        <v>1</v>
      </c>
      <c r="BP12" s="58" t="s">
        <v>23</v>
      </c>
      <c r="BQ12" s="58" t="s">
        <v>23</v>
      </c>
      <c r="BR12" s="58">
        <v>0.16669999999999999</v>
      </c>
      <c r="BS12" s="58" t="s">
        <v>23</v>
      </c>
      <c r="BT12" s="58" t="s">
        <v>23</v>
      </c>
      <c r="BU12" s="58" t="s">
        <v>23</v>
      </c>
      <c r="BV12" s="58" t="s">
        <v>23</v>
      </c>
      <c r="BW12" s="58">
        <v>1</v>
      </c>
      <c r="BX12" s="58">
        <v>1</v>
      </c>
      <c r="BY12" s="58">
        <v>1</v>
      </c>
      <c r="BZ12" s="58">
        <v>0.93330000000000002</v>
      </c>
      <c r="CA12" s="58">
        <v>1</v>
      </c>
      <c r="CB12" s="58">
        <v>1</v>
      </c>
      <c r="CC12" s="58">
        <v>1</v>
      </c>
      <c r="CD12" s="85" t="s">
        <v>2</v>
      </c>
      <c r="CE12" s="85" t="s">
        <v>2</v>
      </c>
      <c r="CF12" s="58">
        <v>1</v>
      </c>
      <c r="CG12" s="58">
        <v>1</v>
      </c>
      <c r="CH12" s="58">
        <v>1</v>
      </c>
      <c r="CI12" s="58">
        <v>0.2</v>
      </c>
      <c r="CJ12" s="58">
        <v>0.8</v>
      </c>
      <c r="CK12" s="58">
        <v>0.8</v>
      </c>
      <c r="CL12" s="60">
        <v>33</v>
      </c>
      <c r="CM12" s="61">
        <v>42</v>
      </c>
      <c r="CN12" s="4"/>
    </row>
    <row r="13" spans="1:92" x14ac:dyDescent="0.25">
      <c r="A13" s="1" t="s">
        <v>32</v>
      </c>
      <c r="B13" s="2" t="s">
        <v>163</v>
      </c>
      <c r="C13" s="2" t="s">
        <v>237</v>
      </c>
      <c r="D13" s="2" t="s">
        <v>153</v>
      </c>
      <c r="E13" s="3">
        <v>29042</v>
      </c>
      <c r="F13" s="59">
        <v>3</v>
      </c>
      <c r="G13" s="59">
        <v>3</v>
      </c>
      <c r="H13" s="59">
        <v>3</v>
      </c>
      <c r="I13" s="59">
        <v>3</v>
      </c>
      <c r="J13" s="59">
        <v>3</v>
      </c>
      <c r="K13" s="59">
        <v>3</v>
      </c>
      <c r="L13" s="59">
        <v>3</v>
      </c>
      <c r="M13" s="59">
        <v>0</v>
      </c>
      <c r="N13" s="58">
        <v>0.66669999999999996</v>
      </c>
      <c r="O13" s="58">
        <v>0.2</v>
      </c>
      <c r="P13" s="59">
        <v>0</v>
      </c>
      <c r="Q13" s="58">
        <v>7.4099999999999999E-2</v>
      </c>
      <c r="R13" s="58">
        <v>5.8799999999999998E-2</v>
      </c>
      <c r="S13" s="59">
        <v>0</v>
      </c>
      <c r="T13" s="58">
        <v>0</v>
      </c>
      <c r="U13" s="58">
        <v>0</v>
      </c>
      <c r="V13" s="59">
        <v>3</v>
      </c>
      <c r="W13" s="58">
        <v>0.23419999999999999</v>
      </c>
      <c r="X13" s="58">
        <v>9.4700000000000006E-2</v>
      </c>
      <c r="Y13" s="59">
        <v>3</v>
      </c>
      <c r="Z13" s="58">
        <v>0</v>
      </c>
      <c r="AA13" s="58">
        <v>0</v>
      </c>
      <c r="AB13" s="59">
        <v>0</v>
      </c>
      <c r="AC13" s="58">
        <v>8.1100000000000005E-2</v>
      </c>
      <c r="AD13" s="58">
        <v>0.25259999999999999</v>
      </c>
      <c r="AE13" s="59">
        <v>1</v>
      </c>
      <c r="AF13" s="58">
        <v>0</v>
      </c>
      <c r="AG13" s="58">
        <v>0.25</v>
      </c>
      <c r="AH13" s="72"/>
      <c r="AI13" s="58">
        <v>0.66669999999999996</v>
      </c>
      <c r="AJ13" s="58">
        <v>0</v>
      </c>
      <c r="AK13" s="58">
        <v>1</v>
      </c>
      <c r="AL13" s="58">
        <v>1</v>
      </c>
      <c r="AM13" s="58">
        <v>1</v>
      </c>
      <c r="AN13" s="58">
        <v>1</v>
      </c>
      <c r="AO13" s="58">
        <v>1</v>
      </c>
      <c r="AP13" s="58">
        <v>0.91666666666666696</v>
      </c>
      <c r="AQ13" s="58">
        <v>0</v>
      </c>
      <c r="AR13" s="58">
        <v>0.11111111111111099</v>
      </c>
      <c r="AS13" s="58">
        <v>0.2</v>
      </c>
      <c r="AT13" s="58">
        <v>0</v>
      </c>
      <c r="AU13" s="58">
        <v>0</v>
      </c>
      <c r="AV13" s="58">
        <v>0.36363636363636398</v>
      </c>
      <c r="AW13" s="58">
        <v>0</v>
      </c>
      <c r="AX13" s="58">
        <v>0</v>
      </c>
      <c r="AY13" s="58" t="s">
        <v>23</v>
      </c>
      <c r="AZ13" s="58">
        <v>0</v>
      </c>
      <c r="BA13" s="58">
        <v>0.5</v>
      </c>
      <c r="BB13" s="58" t="s">
        <v>23</v>
      </c>
      <c r="BC13" s="58">
        <v>0.12195121951219499</v>
      </c>
      <c r="BD13" s="58">
        <v>0.13888888888888901</v>
      </c>
      <c r="BE13" s="58">
        <v>0.65365853658536599</v>
      </c>
      <c r="BF13" s="58">
        <v>0.24390243902438999</v>
      </c>
      <c r="BG13" s="58">
        <v>0</v>
      </c>
      <c r="BH13" s="58">
        <v>0.32727272727272699</v>
      </c>
      <c r="BI13" s="58" t="s">
        <v>2</v>
      </c>
      <c r="BJ13" s="58" t="s">
        <v>2</v>
      </c>
      <c r="BK13" s="58">
        <v>0.42109999999999997</v>
      </c>
      <c r="BL13" s="58">
        <v>9.4700000000000006E-2</v>
      </c>
      <c r="BM13" s="58">
        <v>0</v>
      </c>
      <c r="BN13" s="58" t="s">
        <v>23</v>
      </c>
      <c r="BO13" s="58" t="s">
        <v>23</v>
      </c>
      <c r="BP13" s="58" t="s">
        <v>23</v>
      </c>
      <c r="BQ13" s="58" t="s">
        <v>23</v>
      </c>
      <c r="BR13" s="58" t="s">
        <v>23</v>
      </c>
      <c r="BS13" s="58" t="s">
        <v>23</v>
      </c>
      <c r="BT13" s="58" t="s">
        <v>23</v>
      </c>
      <c r="BU13" s="58" t="s">
        <v>23</v>
      </c>
      <c r="BV13" s="58" t="s">
        <v>23</v>
      </c>
      <c r="BW13" s="58">
        <v>1</v>
      </c>
      <c r="BX13" s="58">
        <v>0.88890000000000002</v>
      </c>
      <c r="BY13" s="58">
        <v>1</v>
      </c>
      <c r="BZ13" s="58">
        <v>0.88890000000000002</v>
      </c>
      <c r="CA13" s="58">
        <v>1</v>
      </c>
      <c r="CB13" s="58">
        <v>0.88890000000000002</v>
      </c>
      <c r="CC13" s="58">
        <v>1</v>
      </c>
      <c r="CD13" s="85" t="s">
        <v>2</v>
      </c>
      <c r="CE13" s="85" t="s">
        <v>2</v>
      </c>
      <c r="CF13" s="58">
        <v>1</v>
      </c>
      <c r="CG13" s="58" t="s">
        <v>23</v>
      </c>
      <c r="CH13" s="58">
        <v>1</v>
      </c>
      <c r="CI13" s="58">
        <v>0.5</v>
      </c>
      <c r="CJ13" s="58">
        <v>1</v>
      </c>
      <c r="CK13" s="58">
        <v>1</v>
      </c>
      <c r="CL13" s="60">
        <v>25</v>
      </c>
      <c r="CM13" s="61">
        <v>42</v>
      </c>
      <c r="CN13" s="4"/>
    </row>
    <row r="14" spans="1:92" x14ac:dyDescent="0.25">
      <c r="A14" s="1" t="s">
        <v>33</v>
      </c>
      <c r="B14" s="2" t="s">
        <v>164</v>
      </c>
      <c r="C14" s="2" t="s">
        <v>238</v>
      </c>
      <c r="D14" s="2" t="s">
        <v>153</v>
      </c>
      <c r="E14" s="3">
        <v>29817</v>
      </c>
      <c r="F14" s="59">
        <v>3</v>
      </c>
      <c r="G14" s="59">
        <v>3</v>
      </c>
      <c r="H14" s="59">
        <v>3</v>
      </c>
      <c r="I14" s="59">
        <v>3</v>
      </c>
      <c r="J14" s="59">
        <v>3</v>
      </c>
      <c r="K14" s="59">
        <v>3</v>
      </c>
      <c r="L14" s="59">
        <v>3</v>
      </c>
      <c r="M14" s="59">
        <v>3</v>
      </c>
      <c r="N14" s="58">
        <v>0</v>
      </c>
      <c r="O14" s="58">
        <v>0.66669999999999996</v>
      </c>
      <c r="P14" s="59">
        <v>1</v>
      </c>
      <c r="Q14" s="58">
        <v>0</v>
      </c>
      <c r="R14" s="58">
        <v>5.8799999999999998E-2</v>
      </c>
      <c r="S14" s="59">
        <v>1</v>
      </c>
      <c r="T14" s="58">
        <v>0</v>
      </c>
      <c r="U14" s="58">
        <v>5.8799999999999998E-2</v>
      </c>
      <c r="V14" s="59">
        <v>3</v>
      </c>
      <c r="W14" s="58">
        <v>1.2E-2</v>
      </c>
      <c r="X14" s="58">
        <v>2.2200000000000001E-2</v>
      </c>
      <c r="Y14" s="59">
        <v>3</v>
      </c>
      <c r="Z14" s="58">
        <v>0</v>
      </c>
      <c r="AA14" s="58">
        <v>0</v>
      </c>
      <c r="AB14" s="59">
        <v>0</v>
      </c>
      <c r="AC14" s="58">
        <v>0</v>
      </c>
      <c r="AD14" s="58">
        <v>0.3085</v>
      </c>
      <c r="AE14" s="59">
        <v>3</v>
      </c>
      <c r="AF14" s="58">
        <v>0.25</v>
      </c>
      <c r="AG14" s="58">
        <v>0.4</v>
      </c>
      <c r="AH14" s="72"/>
      <c r="AI14" s="58">
        <v>0</v>
      </c>
      <c r="AJ14" s="58">
        <v>0.5</v>
      </c>
      <c r="AK14" s="58">
        <v>1</v>
      </c>
      <c r="AL14" s="58">
        <v>1</v>
      </c>
      <c r="AM14" s="58">
        <v>0.83333333333333304</v>
      </c>
      <c r="AN14" s="58">
        <v>1</v>
      </c>
      <c r="AO14" s="58">
        <v>1</v>
      </c>
      <c r="AP14" s="58">
        <v>1</v>
      </c>
      <c r="AQ14" s="58">
        <v>0.16666666666666699</v>
      </c>
      <c r="AR14" s="58">
        <v>0</v>
      </c>
      <c r="AS14" s="58">
        <v>0</v>
      </c>
      <c r="AT14" s="58">
        <v>0</v>
      </c>
      <c r="AU14" s="58">
        <v>9.0909090909090898E-2</v>
      </c>
      <c r="AV14" s="58">
        <v>0.1</v>
      </c>
      <c r="AW14" s="58" t="s">
        <v>23</v>
      </c>
      <c r="AX14" s="58" t="s">
        <v>23</v>
      </c>
      <c r="AY14" s="58" t="s">
        <v>23</v>
      </c>
      <c r="AZ14" s="58" t="s">
        <v>23</v>
      </c>
      <c r="BA14" s="58" t="s">
        <v>23</v>
      </c>
      <c r="BB14" s="58" t="s">
        <v>23</v>
      </c>
      <c r="BC14" s="58">
        <v>4.9549549549549599E-2</v>
      </c>
      <c r="BD14" s="58">
        <v>0.128205128205128</v>
      </c>
      <c r="BE14" s="58">
        <v>0.7</v>
      </c>
      <c r="BF14" s="58">
        <v>8.3333333333333301E-2</v>
      </c>
      <c r="BG14" s="58">
        <v>-1.3986013986014E-2</v>
      </c>
      <c r="BH14" s="58">
        <v>0.64418604651162803</v>
      </c>
      <c r="BI14" s="58" t="s">
        <v>2</v>
      </c>
      <c r="BJ14" s="58" t="s">
        <v>2</v>
      </c>
      <c r="BK14" s="58">
        <v>0.92220000000000002</v>
      </c>
      <c r="BL14" s="58">
        <v>2.2200000000000001E-2</v>
      </c>
      <c r="BM14" s="58">
        <v>0</v>
      </c>
      <c r="BN14" s="58">
        <v>1</v>
      </c>
      <c r="BO14" s="58" t="s">
        <v>23</v>
      </c>
      <c r="BP14" s="58">
        <v>1</v>
      </c>
      <c r="BQ14" s="58">
        <v>1</v>
      </c>
      <c r="BR14" s="58" t="s">
        <v>23</v>
      </c>
      <c r="BS14" s="58" t="s">
        <v>23</v>
      </c>
      <c r="BT14" s="58" t="s">
        <v>23</v>
      </c>
      <c r="BU14" s="58" t="s">
        <v>23</v>
      </c>
      <c r="BV14" s="58" t="s">
        <v>23</v>
      </c>
      <c r="BW14" s="58">
        <v>1</v>
      </c>
      <c r="BX14" s="58">
        <v>1</v>
      </c>
      <c r="BY14" s="58">
        <v>1</v>
      </c>
      <c r="BZ14" s="58">
        <v>0.75</v>
      </c>
      <c r="CA14" s="58">
        <v>0.5</v>
      </c>
      <c r="CB14" s="58">
        <v>0.75</v>
      </c>
      <c r="CC14" s="58">
        <v>1</v>
      </c>
      <c r="CD14" s="85" t="s">
        <v>2</v>
      </c>
      <c r="CE14" s="85" t="s">
        <v>2</v>
      </c>
      <c r="CF14" s="58">
        <v>1</v>
      </c>
      <c r="CG14" s="58">
        <v>1</v>
      </c>
      <c r="CH14" s="58">
        <v>1</v>
      </c>
      <c r="CI14" s="58">
        <v>0</v>
      </c>
      <c r="CJ14" s="58">
        <v>1</v>
      </c>
      <c r="CK14" s="58">
        <v>1</v>
      </c>
      <c r="CL14" s="60">
        <v>32</v>
      </c>
      <c r="CM14" s="61">
        <v>42</v>
      </c>
      <c r="CN14" s="4"/>
    </row>
    <row r="15" spans="1:92" x14ac:dyDescent="0.25">
      <c r="A15" s="1" t="s">
        <v>34</v>
      </c>
      <c r="B15" s="2" t="s">
        <v>165</v>
      </c>
      <c r="C15" s="2" t="s">
        <v>239</v>
      </c>
      <c r="D15" s="2" t="s">
        <v>153</v>
      </c>
      <c r="E15" s="3">
        <v>29853</v>
      </c>
      <c r="F15" s="59">
        <v>3</v>
      </c>
      <c r="G15" s="59">
        <v>3</v>
      </c>
      <c r="H15" s="59">
        <v>3</v>
      </c>
      <c r="I15" s="59">
        <v>3</v>
      </c>
      <c r="J15" s="59">
        <v>3</v>
      </c>
      <c r="K15" s="59">
        <v>3</v>
      </c>
      <c r="L15" s="59">
        <v>3</v>
      </c>
      <c r="M15" s="59">
        <v>0</v>
      </c>
      <c r="N15" s="58">
        <v>0.8</v>
      </c>
      <c r="O15" s="58">
        <v>0</v>
      </c>
      <c r="P15" s="59">
        <v>0</v>
      </c>
      <c r="Q15" s="58">
        <v>9.0899999999999995E-2</v>
      </c>
      <c r="R15" s="58">
        <v>7.1400000000000005E-2</v>
      </c>
      <c r="S15" s="59">
        <v>0</v>
      </c>
      <c r="T15" s="58">
        <v>9.0899999999999995E-2</v>
      </c>
      <c r="U15" s="58">
        <v>7.1400000000000005E-2</v>
      </c>
      <c r="V15" s="59">
        <v>3</v>
      </c>
      <c r="W15" s="58">
        <v>4.0500000000000001E-2</v>
      </c>
      <c r="X15" s="58">
        <v>4.3499999999999997E-2</v>
      </c>
      <c r="Y15" s="59">
        <v>3</v>
      </c>
      <c r="Z15" s="58">
        <v>0</v>
      </c>
      <c r="AA15" s="58">
        <v>0</v>
      </c>
      <c r="AB15" s="59">
        <v>0</v>
      </c>
      <c r="AC15" s="58">
        <v>8.1100000000000005E-2</v>
      </c>
      <c r="AD15" s="58">
        <v>0.21429999999999999</v>
      </c>
      <c r="AE15" s="59">
        <v>3</v>
      </c>
      <c r="AF15" s="58">
        <v>0.76900000000000002</v>
      </c>
      <c r="AG15" s="58">
        <v>0.8</v>
      </c>
      <c r="AH15" s="72"/>
      <c r="AI15" s="58">
        <v>0.8</v>
      </c>
      <c r="AJ15" s="58">
        <v>0</v>
      </c>
      <c r="AK15" s="58">
        <v>1</v>
      </c>
      <c r="AL15" s="58">
        <v>1</v>
      </c>
      <c r="AM15" s="58">
        <v>1</v>
      </c>
      <c r="AN15" s="58">
        <v>1</v>
      </c>
      <c r="AO15" s="58">
        <v>1</v>
      </c>
      <c r="AP15" s="58">
        <v>1</v>
      </c>
      <c r="AQ15" s="58">
        <v>0</v>
      </c>
      <c r="AR15" s="58">
        <v>0.1</v>
      </c>
      <c r="AS15" s="58">
        <v>0.25</v>
      </c>
      <c r="AT15" s="58">
        <v>0.25</v>
      </c>
      <c r="AU15" s="58">
        <v>0</v>
      </c>
      <c r="AV15" s="58">
        <v>0.25</v>
      </c>
      <c r="AW15" s="58" t="s">
        <v>23</v>
      </c>
      <c r="AX15" s="58" t="s">
        <v>23</v>
      </c>
      <c r="AY15" s="58" t="s">
        <v>23</v>
      </c>
      <c r="AZ15" s="58" t="s">
        <v>23</v>
      </c>
      <c r="BA15" s="58" t="s">
        <v>23</v>
      </c>
      <c r="BB15" s="58">
        <v>1</v>
      </c>
      <c r="BC15" s="58">
        <v>0.39130434782608697</v>
      </c>
      <c r="BD15" s="58">
        <v>0.20769230769230801</v>
      </c>
      <c r="BE15" s="58">
        <v>0.57352941176470595</v>
      </c>
      <c r="BF15" s="58">
        <v>0.184782608695652</v>
      </c>
      <c r="BG15" s="58">
        <v>0.134615384615385</v>
      </c>
      <c r="BH15" s="58">
        <v>-0.115384615384615</v>
      </c>
      <c r="BI15" s="58" t="s">
        <v>2</v>
      </c>
      <c r="BJ15" s="58" t="s">
        <v>2</v>
      </c>
      <c r="BK15" s="58">
        <v>0.73909999999999998</v>
      </c>
      <c r="BL15" s="58">
        <v>4.3499999999999997E-2</v>
      </c>
      <c r="BM15" s="58">
        <v>0</v>
      </c>
      <c r="BN15" s="58" t="s">
        <v>23</v>
      </c>
      <c r="BO15" s="58" t="s">
        <v>23</v>
      </c>
      <c r="BP15" s="58" t="s">
        <v>23</v>
      </c>
      <c r="BQ15" s="58">
        <v>1</v>
      </c>
      <c r="BR15" s="58" t="s">
        <v>23</v>
      </c>
      <c r="BS15" s="58" t="s">
        <v>23</v>
      </c>
      <c r="BT15" s="58" t="s">
        <v>23</v>
      </c>
      <c r="BU15" s="58" t="s">
        <v>23</v>
      </c>
      <c r="BV15" s="58" t="s">
        <v>23</v>
      </c>
      <c r="BW15" s="58">
        <v>0.66669999999999996</v>
      </c>
      <c r="BX15" s="58">
        <v>0</v>
      </c>
      <c r="BY15" s="58">
        <v>1</v>
      </c>
      <c r="BZ15" s="58">
        <v>0</v>
      </c>
      <c r="CA15" s="58">
        <v>0.33329999999999999</v>
      </c>
      <c r="CB15" s="58">
        <v>0</v>
      </c>
      <c r="CC15" s="58">
        <v>1</v>
      </c>
      <c r="CD15" s="85" t="s">
        <v>2</v>
      </c>
      <c r="CE15" s="85" t="s">
        <v>2</v>
      </c>
      <c r="CF15" s="58">
        <v>1</v>
      </c>
      <c r="CG15" s="58">
        <v>1</v>
      </c>
      <c r="CH15" s="58">
        <v>1</v>
      </c>
      <c r="CI15" s="58">
        <v>1</v>
      </c>
      <c r="CJ15" s="58">
        <v>1</v>
      </c>
      <c r="CK15" s="58">
        <v>1</v>
      </c>
      <c r="CL15" s="60">
        <v>27</v>
      </c>
      <c r="CM15" s="61">
        <v>42</v>
      </c>
      <c r="CN15" s="4"/>
    </row>
    <row r="16" spans="1:92" x14ac:dyDescent="0.25">
      <c r="A16" s="1" t="s">
        <v>35</v>
      </c>
      <c r="B16" s="2" t="s">
        <v>166</v>
      </c>
      <c r="C16" s="2" t="s">
        <v>240</v>
      </c>
      <c r="D16" s="2" t="s">
        <v>153</v>
      </c>
      <c r="E16" s="3">
        <v>29812</v>
      </c>
      <c r="F16" s="59">
        <v>3</v>
      </c>
      <c r="G16" s="59">
        <v>3</v>
      </c>
      <c r="H16" s="59">
        <v>3</v>
      </c>
      <c r="I16" s="59">
        <v>3</v>
      </c>
      <c r="J16" s="59">
        <v>3</v>
      </c>
      <c r="K16" s="59">
        <v>3</v>
      </c>
      <c r="L16" s="59">
        <v>3</v>
      </c>
      <c r="M16" s="59">
        <v>3</v>
      </c>
      <c r="N16" s="58">
        <v>0.57889999999999997</v>
      </c>
      <c r="O16" s="58">
        <v>0.6875</v>
      </c>
      <c r="P16" s="59">
        <v>3</v>
      </c>
      <c r="Q16" s="58">
        <v>4.4400000000000002E-2</v>
      </c>
      <c r="R16" s="58">
        <v>0.1633</v>
      </c>
      <c r="S16" s="59">
        <v>3</v>
      </c>
      <c r="T16" s="58">
        <v>0.15559999999999999</v>
      </c>
      <c r="U16" s="58">
        <v>0.1429</v>
      </c>
      <c r="V16" s="59">
        <v>0</v>
      </c>
      <c r="W16" s="58">
        <v>0.2112</v>
      </c>
      <c r="X16" s="58">
        <v>0.2273</v>
      </c>
      <c r="Y16" s="59">
        <v>3</v>
      </c>
      <c r="Z16" s="58">
        <v>0</v>
      </c>
      <c r="AA16" s="58">
        <v>0</v>
      </c>
      <c r="AB16" s="59">
        <v>2</v>
      </c>
      <c r="AC16" s="58">
        <v>5.5899999999999998E-2</v>
      </c>
      <c r="AD16" s="58">
        <v>0.15079999999999999</v>
      </c>
      <c r="AE16" s="59">
        <v>0</v>
      </c>
      <c r="AF16" s="58">
        <v>0.308</v>
      </c>
      <c r="AG16" s="58">
        <v>0.27600000000000002</v>
      </c>
      <c r="AH16" s="72"/>
      <c r="AI16" s="58">
        <v>0.57889999999999997</v>
      </c>
      <c r="AJ16" s="58">
        <v>0.26319999999999999</v>
      </c>
      <c r="AK16" s="58">
        <v>1</v>
      </c>
      <c r="AL16" s="58">
        <v>1</v>
      </c>
      <c r="AM16" s="58">
        <v>1</v>
      </c>
      <c r="AN16" s="58">
        <v>1</v>
      </c>
      <c r="AO16" s="58">
        <v>1</v>
      </c>
      <c r="AP16" s="58">
        <v>1</v>
      </c>
      <c r="AQ16" s="58">
        <v>0.13888888888888901</v>
      </c>
      <c r="AR16" s="58">
        <v>0.15</v>
      </c>
      <c r="AS16" s="58">
        <v>0.133333333333333</v>
      </c>
      <c r="AT16" s="58">
        <v>0.194444444444444</v>
      </c>
      <c r="AU16" s="58">
        <v>0</v>
      </c>
      <c r="AV16" s="58">
        <v>0.22222222222222199</v>
      </c>
      <c r="AW16" s="58">
        <v>0</v>
      </c>
      <c r="AX16" s="58">
        <v>0.5</v>
      </c>
      <c r="AY16" s="58">
        <v>0.33333333333333298</v>
      </c>
      <c r="AZ16" s="58">
        <v>0</v>
      </c>
      <c r="BA16" s="58">
        <v>0.66666666666666696</v>
      </c>
      <c r="BB16" s="58" t="s">
        <v>23</v>
      </c>
      <c r="BC16" s="58">
        <v>0.192602823818293</v>
      </c>
      <c r="BD16" s="58">
        <v>0.25</v>
      </c>
      <c r="BE16" s="58">
        <v>0.63218390804597702</v>
      </c>
      <c r="BF16" s="58">
        <v>0.15362185389809699</v>
      </c>
      <c r="BG16" s="58">
        <v>0.18181818181818199</v>
      </c>
      <c r="BH16" s="58">
        <v>0.30924630924630903</v>
      </c>
      <c r="BI16" s="58" t="s">
        <v>2</v>
      </c>
      <c r="BJ16" s="58" t="s">
        <v>2</v>
      </c>
      <c r="BK16" s="58">
        <v>0.63639999999999997</v>
      </c>
      <c r="BL16" s="58">
        <v>0.2273</v>
      </c>
      <c r="BM16" s="58">
        <v>1.6199999999999999E-2</v>
      </c>
      <c r="BN16" s="58">
        <v>0.66669999999999996</v>
      </c>
      <c r="BO16" s="58" t="s">
        <v>23</v>
      </c>
      <c r="BP16" s="58">
        <v>1</v>
      </c>
      <c r="BQ16" s="58">
        <v>0.88890000000000002</v>
      </c>
      <c r="BR16" s="58" t="s">
        <v>23</v>
      </c>
      <c r="BS16" s="58" t="s">
        <v>23</v>
      </c>
      <c r="BT16" s="58" t="s">
        <v>23</v>
      </c>
      <c r="BU16" s="58" t="s">
        <v>23</v>
      </c>
      <c r="BV16" s="58" t="s">
        <v>23</v>
      </c>
      <c r="BW16" s="58">
        <v>0.88239999999999996</v>
      </c>
      <c r="BX16" s="58">
        <v>0.68420000000000003</v>
      </c>
      <c r="BY16" s="58">
        <v>0.88890000000000002</v>
      </c>
      <c r="BZ16" s="58">
        <v>0.63160000000000005</v>
      </c>
      <c r="CA16" s="58">
        <v>0.8</v>
      </c>
      <c r="CB16" s="58">
        <v>0.73680000000000001</v>
      </c>
      <c r="CC16" s="58">
        <v>1</v>
      </c>
      <c r="CD16" s="85" t="s">
        <v>2</v>
      </c>
      <c r="CE16" s="85" t="s">
        <v>2</v>
      </c>
      <c r="CF16" s="58">
        <v>1</v>
      </c>
      <c r="CG16" s="58">
        <v>1</v>
      </c>
      <c r="CH16" s="58">
        <v>1</v>
      </c>
      <c r="CI16" s="58">
        <v>0.42859999999999998</v>
      </c>
      <c r="CJ16" s="58">
        <v>1</v>
      </c>
      <c r="CK16" s="58">
        <v>1</v>
      </c>
      <c r="CL16" s="60">
        <v>33</v>
      </c>
      <c r="CM16" s="61">
        <v>42</v>
      </c>
      <c r="CN16" s="4"/>
    </row>
    <row r="17" spans="1:92" x14ac:dyDescent="0.25">
      <c r="A17" s="1" t="s">
        <v>36</v>
      </c>
      <c r="B17" s="2" t="s">
        <v>167</v>
      </c>
      <c r="C17" s="2" t="s">
        <v>36</v>
      </c>
      <c r="D17" s="2" t="s">
        <v>153</v>
      </c>
      <c r="E17" s="3">
        <v>29902</v>
      </c>
      <c r="F17" s="59">
        <v>3</v>
      </c>
      <c r="G17" s="59">
        <v>3</v>
      </c>
      <c r="H17" s="59">
        <v>3</v>
      </c>
      <c r="I17" s="59">
        <v>3</v>
      </c>
      <c r="J17" s="59">
        <v>3</v>
      </c>
      <c r="K17" s="59">
        <v>3</v>
      </c>
      <c r="L17" s="59">
        <v>3</v>
      </c>
      <c r="M17" s="59">
        <v>3</v>
      </c>
      <c r="N17" s="58">
        <v>0.63370000000000004</v>
      </c>
      <c r="O17" s="58">
        <v>0.75219999999999998</v>
      </c>
      <c r="P17" s="59">
        <v>2</v>
      </c>
      <c r="Q17" s="58">
        <v>0.1201</v>
      </c>
      <c r="R17" s="58">
        <v>0.13789999999999999</v>
      </c>
      <c r="S17" s="59">
        <v>3</v>
      </c>
      <c r="T17" s="58">
        <v>0.10100000000000001</v>
      </c>
      <c r="U17" s="58">
        <v>0.1356</v>
      </c>
      <c r="V17" s="59">
        <v>1</v>
      </c>
      <c r="W17" s="58">
        <v>0.17</v>
      </c>
      <c r="X17" s="58">
        <v>0.1661</v>
      </c>
      <c r="Y17" s="59">
        <v>0</v>
      </c>
      <c r="Z17" s="58">
        <v>0.32700000000000001</v>
      </c>
      <c r="AA17" s="58">
        <v>0.58250000000000002</v>
      </c>
      <c r="AB17" s="59">
        <v>0</v>
      </c>
      <c r="AC17" s="58">
        <v>6.59E-2</v>
      </c>
      <c r="AD17" s="58">
        <v>0.1603</v>
      </c>
      <c r="AE17" s="59">
        <v>3</v>
      </c>
      <c r="AF17" s="58">
        <v>0.375</v>
      </c>
      <c r="AG17" s="58">
        <v>0.39500000000000002</v>
      </c>
      <c r="AH17" s="72"/>
      <c r="AI17" s="58">
        <v>0.63370000000000004</v>
      </c>
      <c r="AJ17" s="58">
        <v>0.19800000000000001</v>
      </c>
      <c r="AK17" s="58">
        <v>0.96902654867256599</v>
      </c>
      <c r="AL17" s="58">
        <v>0.99489795918367396</v>
      </c>
      <c r="AM17" s="58">
        <v>0.99328859060402697</v>
      </c>
      <c r="AN17" s="58">
        <v>0.97787610619469001</v>
      </c>
      <c r="AO17" s="58">
        <v>0.99489795918367396</v>
      </c>
      <c r="AP17" s="58">
        <v>0.93798449612403101</v>
      </c>
      <c r="AQ17" s="58">
        <v>0.185929648241206</v>
      </c>
      <c r="AR17" s="58">
        <v>8.4269662921348298E-2</v>
      </c>
      <c r="AS17" s="58">
        <v>0.39024390243902402</v>
      </c>
      <c r="AT17" s="58">
        <v>0.20603015075376899</v>
      </c>
      <c r="AU17" s="58">
        <v>5.6497175141242903E-2</v>
      </c>
      <c r="AV17" s="58">
        <v>0.31481481481481499</v>
      </c>
      <c r="AW17" s="58">
        <v>0.45</v>
      </c>
      <c r="AX17" s="58">
        <v>0.35294117647058798</v>
      </c>
      <c r="AY17" s="58">
        <v>0.48</v>
      </c>
      <c r="AZ17" s="58">
        <v>0.59090909090909105</v>
      </c>
      <c r="BA17" s="58">
        <v>0.38888888888888901</v>
      </c>
      <c r="BB17" s="58">
        <v>0.53846153846153799</v>
      </c>
      <c r="BC17" s="58">
        <v>0.34175547517440402</v>
      </c>
      <c r="BD17" s="58">
        <v>0.390244900185448</v>
      </c>
      <c r="BE17" s="58">
        <v>0.44989819347571802</v>
      </c>
      <c r="BF17" s="58">
        <v>0.24226871515683801</v>
      </c>
      <c r="BG17" s="58">
        <v>0.24611046585329899</v>
      </c>
      <c r="BH17" s="58">
        <v>0.34320566300088501</v>
      </c>
      <c r="BI17" s="58" t="s">
        <v>2</v>
      </c>
      <c r="BJ17" s="58" t="s">
        <v>2</v>
      </c>
      <c r="BK17" s="58">
        <v>0.63780000000000003</v>
      </c>
      <c r="BL17" s="58">
        <v>0.1661</v>
      </c>
      <c r="BM17" s="58">
        <v>7.6E-3</v>
      </c>
      <c r="BN17" s="58">
        <v>1.3899999999999999E-2</v>
      </c>
      <c r="BO17" s="58">
        <v>0.95830000000000004</v>
      </c>
      <c r="BP17" s="58">
        <v>0.68</v>
      </c>
      <c r="BQ17" s="58">
        <v>0.47420000000000001</v>
      </c>
      <c r="BR17" s="58">
        <v>0.41239999999999999</v>
      </c>
      <c r="BS17" s="58">
        <v>0</v>
      </c>
      <c r="BT17" s="58">
        <v>0</v>
      </c>
      <c r="BU17" s="58">
        <v>0</v>
      </c>
      <c r="BV17" s="58">
        <v>0</v>
      </c>
      <c r="BW17" s="58">
        <v>0.86550000000000005</v>
      </c>
      <c r="BX17" s="58">
        <v>0.58330000000000004</v>
      </c>
      <c r="BY17" s="58">
        <v>0.86129999999999995</v>
      </c>
      <c r="BZ17" s="58">
        <v>0.60419999999999996</v>
      </c>
      <c r="CA17" s="58">
        <v>0.88</v>
      </c>
      <c r="CB17" s="58">
        <v>0.78129999999999999</v>
      </c>
      <c r="CC17" s="58">
        <v>1</v>
      </c>
      <c r="CD17" s="85" t="s">
        <v>2</v>
      </c>
      <c r="CE17" s="85" t="s">
        <v>2</v>
      </c>
      <c r="CF17" s="58">
        <v>1</v>
      </c>
      <c r="CG17" s="58">
        <v>1</v>
      </c>
      <c r="CH17" s="58">
        <v>1</v>
      </c>
      <c r="CI17" s="58">
        <v>0.31030000000000002</v>
      </c>
      <c r="CJ17" s="58">
        <v>0.75860000000000005</v>
      </c>
      <c r="CK17" s="58">
        <v>0.8276</v>
      </c>
      <c r="CL17" s="60">
        <v>33</v>
      </c>
      <c r="CM17" s="61">
        <v>42</v>
      </c>
      <c r="CN17" s="4"/>
    </row>
    <row r="18" spans="1:92" x14ac:dyDescent="0.25">
      <c r="A18" s="1" t="s">
        <v>37</v>
      </c>
      <c r="B18" s="2" t="s">
        <v>168</v>
      </c>
      <c r="C18" s="2" t="s">
        <v>241</v>
      </c>
      <c r="D18" s="2" t="s">
        <v>153</v>
      </c>
      <c r="E18" s="3">
        <v>29461</v>
      </c>
      <c r="F18" s="59">
        <v>3</v>
      </c>
      <c r="G18" s="59">
        <v>3</v>
      </c>
      <c r="H18" s="59">
        <v>3</v>
      </c>
      <c r="I18" s="59">
        <v>3</v>
      </c>
      <c r="J18" s="59">
        <v>2</v>
      </c>
      <c r="K18" s="59">
        <v>3</v>
      </c>
      <c r="L18" s="59">
        <v>3</v>
      </c>
      <c r="M18" s="59">
        <v>2</v>
      </c>
      <c r="N18" s="58">
        <v>0.52259999999999995</v>
      </c>
      <c r="O18" s="58">
        <v>0.53480000000000005</v>
      </c>
      <c r="P18" s="59">
        <v>1</v>
      </c>
      <c r="Q18" s="58">
        <v>0.1033</v>
      </c>
      <c r="R18" s="58">
        <v>0.12720000000000001</v>
      </c>
      <c r="S18" s="59">
        <v>0</v>
      </c>
      <c r="T18" s="58">
        <v>0.1089</v>
      </c>
      <c r="U18" s="58">
        <v>8.7599999999999997E-2</v>
      </c>
      <c r="V18" s="59">
        <v>1</v>
      </c>
      <c r="W18" s="58">
        <v>0.18129999999999999</v>
      </c>
      <c r="X18" s="58">
        <v>0.17150000000000001</v>
      </c>
      <c r="Y18" s="59">
        <v>0</v>
      </c>
      <c r="Z18" s="58">
        <v>0.4</v>
      </c>
      <c r="AA18" s="58">
        <v>0.45050000000000001</v>
      </c>
      <c r="AB18" s="59">
        <v>0</v>
      </c>
      <c r="AC18" s="58">
        <v>7.2700000000000001E-2</v>
      </c>
      <c r="AD18" s="58">
        <v>0.16300000000000001</v>
      </c>
      <c r="AE18" s="59">
        <v>1</v>
      </c>
      <c r="AF18" s="58">
        <v>6.7000000000000004E-2</v>
      </c>
      <c r="AG18" s="58">
        <v>0.13700000000000001</v>
      </c>
      <c r="AH18" s="72"/>
      <c r="AI18" s="58">
        <v>0.52259999999999995</v>
      </c>
      <c r="AJ18" s="58">
        <v>0.30309999999999998</v>
      </c>
      <c r="AK18" s="58">
        <v>0.99776785714285698</v>
      </c>
      <c r="AL18" s="58">
        <v>0.962666666666667</v>
      </c>
      <c r="AM18" s="58">
        <v>0.94919786096256697</v>
      </c>
      <c r="AN18" s="58">
        <v>0.99777282850779503</v>
      </c>
      <c r="AO18" s="58">
        <v>0.96533333333333304</v>
      </c>
      <c r="AP18" s="58">
        <v>0.91066997518610404</v>
      </c>
      <c r="AQ18" s="58">
        <v>0.152542372881356</v>
      </c>
      <c r="AR18" s="58">
        <v>9.5092024539877307E-2</v>
      </c>
      <c r="AS18" s="58">
        <v>0.46381578947368401</v>
      </c>
      <c r="AT18" s="58">
        <v>0.128329297820823</v>
      </c>
      <c r="AU18" s="58">
        <v>3.64741641337386E-2</v>
      </c>
      <c r="AV18" s="58">
        <v>0.253869969040248</v>
      </c>
      <c r="AW18" s="58">
        <v>0.32352941176470601</v>
      </c>
      <c r="AX18" s="58">
        <v>0.48571428571428599</v>
      </c>
      <c r="AY18" s="58">
        <v>0.41176470588235298</v>
      </c>
      <c r="AZ18" s="58">
        <v>0.22857142857142901</v>
      </c>
      <c r="BA18" s="58">
        <v>0.42424242424242398</v>
      </c>
      <c r="BB18" s="58">
        <v>0.54545454545454497</v>
      </c>
      <c r="BC18" s="58">
        <v>0.32092701487374597</v>
      </c>
      <c r="BD18" s="58">
        <v>0.33123607435754998</v>
      </c>
      <c r="BE18" s="58">
        <v>0.371135666836995</v>
      </c>
      <c r="BF18" s="58">
        <v>0.23098770292156701</v>
      </c>
      <c r="BG18" s="58">
        <v>0.17273504507547099</v>
      </c>
      <c r="BH18" s="58">
        <v>0.21461384697338101</v>
      </c>
      <c r="BI18" s="58" t="s">
        <v>2</v>
      </c>
      <c r="BJ18" s="58" t="s">
        <v>2</v>
      </c>
      <c r="BK18" s="58">
        <v>0.47260000000000002</v>
      </c>
      <c r="BL18" s="58">
        <v>0.17150000000000001</v>
      </c>
      <c r="BM18" s="58">
        <v>5.7000000000000002E-3</v>
      </c>
      <c r="BN18" s="58">
        <v>6.5000000000000002E-2</v>
      </c>
      <c r="BO18" s="58">
        <v>0.49590000000000001</v>
      </c>
      <c r="BP18" s="58">
        <v>0.48280000000000001</v>
      </c>
      <c r="BQ18" s="58">
        <v>0.24310000000000001</v>
      </c>
      <c r="BR18" s="58">
        <v>0.4365</v>
      </c>
      <c r="BS18" s="58">
        <v>0</v>
      </c>
      <c r="BT18" s="58">
        <v>8.0999999999999996E-3</v>
      </c>
      <c r="BU18" s="58">
        <v>0</v>
      </c>
      <c r="BV18" s="58">
        <v>0</v>
      </c>
      <c r="BW18" s="58">
        <v>0.9556</v>
      </c>
      <c r="BX18" s="58">
        <v>0.41710000000000003</v>
      </c>
      <c r="BY18" s="58">
        <v>0.93169999999999997</v>
      </c>
      <c r="BZ18" s="58">
        <v>0.45229999999999998</v>
      </c>
      <c r="CA18" s="58">
        <v>0.9466</v>
      </c>
      <c r="CB18" s="58">
        <v>0.56279999999999997</v>
      </c>
      <c r="CC18" s="58">
        <v>0.98280000000000001</v>
      </c>
      <c r="CD18" s="85" t="s">
        <v>2</v>
      </c>
      <c r="CE18" s="85" t="s">
        <v>2</v>
      </c>
      <c r="CF18" s="58">
        <v>0.99619999999999997</v>
      </c>
      <c r="CG18" s="58">
        <v>0.99329999999999996</v>
      </c>
      <c r="CH18" s="58">
        <v>1</v>
      </c>
      <c r="CI18" s="58">
        <v>0.13039999999999999</v>
      </c>
      <c r="CJ18" s="58">
        <v>0.63770000000000004</v>
      </c>
      <c r="CK18" s="58">
        <v>0.68120000000000003</v>
      </c>
      <c r="CL18" s="60">
        <v>25</v>
      </c>
      <c r="CM18" s="61">
        <v>42</v>
      </c>
      <c r="CN18" s="4"/>
    </row>
    <row r="19" spans="1:92" x14ac:dyDescent="0.25">
      <c r="A19" s="1" t="s">
        <v>38</v>
      </c>
      <c r="B19" s="2" t="s">
        <v>169</v>
      </c>
      <c r="C19" s="2" t="s">
        <v>242</v>
      </c>
      <c r="D19" s="2" t="s">
        <v>153</v>
      </c>
      <c r="E19" s="3">
        <v>29135</v>
      </c>
      <c r="F19" s="59">
        <v>3</v>
      </c>
      <c r="G19" s="59">
        <v>3</v>
      </c>
      <c r="H19" s="59">
        <v>2</v>
      </c>
      <c r="I19" s="59">
        <v>3</v>
      </c>
      <c r="J19" s="59">
        <v>3</v>
      </c>
      <c r="K19" s="59">
        <v>3</v>
      </c>
      <c r="L19" s="59">
        <v>3</v>
      </c>
      <c r="M19" s="59">
        <v>3</v>
      </c>
      <c r="N19" s="58">
        <v>0.52170000000000005</v>
      </c>
      <c r="O19" s="58">
        <v>0.66669999999999996</v>
      </c>
      <c r="P19" s="59">
        <v>1</v>
      </c>
      <c r="Q19" s="58">
        <v>0</v>
      </c>
      <c r="R19" s="58">
        <v>4.7600000000000003E-2</v>
      </c>
      <c r="S19" s="59">
        <v>1</v>
      </c>
      <c r="T19" s="58">
        <v>0</v>
      </c>
      <c r="U19" s="58">
        <v>2.3800000000000002E-2</v>
      </c>
      <c r="V19" s="59">
        <v>0</v>
      </c>
      <c r="W19" s="58">
        <v>0.3306</v>
      </c>
      <c r="X19" s="58">
        <v>0.3362</v>
      </c>
      <c r="Y19" s="59">
        <v>3</v>
      </c>
      <c r="Z19" s="58">
        <v>0.125</v>
      </c>
      <c r="AA19" s="58">
        <v>0.2</v>
      </c>
      <c r="AB19" s="59">
        <v>0</v>
      </c>
      <c r="AC19" s="58">
        <v>3.2300000000000002E-2</v>
      </c>
      <c r="AD19" s="58">
        <v>0.1583</v>
      </c>
      <c r="AE19" s="59">
        <v>3</v>
      </c>
      <c r="AF19" s="58">
        <v>0.26300000000000001</v>
      </c>
      <c r="AG19" s="58">
        <v>0.33300000000000002</v>
      </c>
      <c r="AH19" s="72"/>
      <c r="AI19" s="58">
        <v>0.52170000000000005</v>
      </c>
      <c r="AJ19" s="58">
        <v>0</v>
      </c>
      <c r="AK19" s="58">
        <v>1</v>
      </c>
      <c r="AL19" s="58">
        <v>1</v>
      </c>
      <c r="AM19" s="58">
        <v>1</v>
      </c>
      <c r="AN19" s="58">
        <v>1</v>
      </c>
      <c r="AO19" s="58">
        <v>1</v>
      </c>
      <c r="AP19" s="58">
        <v>0.94117647058823495</v>
      </c>
      <c r="AQ19" s="58">
        <v>8.3333333333333301E-2</v>
      </c>
      <c r="AR19" s="58">
        <v>0</v>
      </c>
      <c r="AS19" s="58">
        <v>0.42857142857142899</v>
      </c>
      <c r="AT19" s="58">
        <v>4.1666666666666699E-2</v>
      </c>
      <c r="AU19" s="58">
        <v>0</v>
      </c>
      <c r="AV19" s="58">
        <v>0.2</v>
      </c>
      <c r="AW19" s="58" t="s">
        <v>23</v>
      </c>
      <c r="AX19" s="58">
        <v>0.25</v>
      </c>
      <c r="AY19" s="58">
        <v>0</v>
      </c>
      <c r="AZ19" s="58" t="s">
        <v>23</v>
      </c>
      <c r="BA19" s="58">
        <v>0.5</v>
      </c>
      <c r="BB19" s="58">
        <v>0</v>
      </c>
      <c r="BC19" s="58">
        <v>0.21918767507002801</v>
      </c>
      <c r="BD19" s="58">
        <v>0.39682539682539703</v>
      </c>
      <c r="BE19" s="58">
        <v>0.35191637630661998</v>
      </c>
      <c r="BF19" s="58">
        <v>6.7577030812324898E-2</v>
      </c>
      <c r="BG19" s="58">
        <v>0.238095238095238</v>
      </c>
      <c r="BH19" s="58">
        <v>0.38762886597938101</v>
      </c>
      <c r="BI19" s="58" t="s">
        <v>2</v>
      </c>
      <c r="BJ19" s="58" t="s">
        <v>2</v>
      </c>
      <c r="BK19" s="58">
        <v>0.40429999999999999</v>
      </c>
      <c r="BL19" s="58">
        <v>0.3362</v>
      </c>
      <c r="BM19" s="58">
        <v>1.7000000000000001E-2</v>
      </c>
      <c r="BN19" s="58" t="s">
        <v>23</v>
      </c>
      <c r="BO19" s="58" t="s">
        <v>23</v>
      </c>
      <c r="BP19" s="58" t="s">
        <v>23</v>
      </c>
      <c r="BQ19" s="58">
        <v>0.5</v>
      </c>
      <c r="BR19" s="58">
        <v>0.25</v>
      </c>
      <c r="BS19" s="58" t="s">
        <v>23</v>
      </c>
      <c r="BT19" s="58" t="s">
        <v>23</v>
      </c>
      <c r="BU19" s="58" t="s">
        <v>23</v>
      </c>
      <c r="BV19" s="58" t="s">
        <v>23</v>
      </c>
      <c r="BW19" s="58">
        <v>0.90910000000000002</v>
      </c>
      <c r="BX19" s="58">
        <v>0.8125</v>
      </c>
      <c r="BY19" s="58">
        <v>0.75</v>
      </c>
      <c r="BZ19" s="58">
        <v>0.6875</v>
      </c>
      <c r="CA19" s="58">
        <v>0.75</v>
      </c>
      <c r="CB19" s="58">
        <v>0.875</v>
      </c>
      <c r="CC19" s="58" t="s">
        <v>23</v>
      </c>
      <c r="CD19" s="85" t="s">
        <v>2</v>
      </c>
      <c r="CE19" s="85" t="s">
        <v>2</v>
      </c>
      <c r="CF19" s="58">
        <v>1</v>
      </c>
      <c r="CG19" s="58">
        <v>1</v>
      </c>
      <c r="CH19" s="58">
        <v>1</v>
      </c>
      <c r="CI19" s="58">
        <v>0.5</v>
      </c>
      <c r="CJ19" s="58">
        <v>0.75</v>
      </c>
      <c r="CK19" s="58">
        <v>0.75</v>
      </c>
      <c r="CL19" s="60">
        <v>31</v>
      </c>
      <c r="CM19" s="61">
        <v>42</v>
      </c>
      <c r="CN19" s="4"/>
    </row>
    <row r="20" spans="1:92" x14ac:dyDescent="0.25">
      <c r="A20" s="1" t="s">
        <v>39</v>
      </c>
      <c r="B20" s="2" t="s">
        <v>170</v>
      </c>
      <c r="C20" s="2" t="s">
        <v>39</v>
      </c>
      <c r="D20" s="2" t="s">
        <v>153</v>
      </c>
      <c r="E20" s="3">
        <v>29401</v>
      </c>
      <c r="F20" s="59">
        <v>3</v>
      </c>
      <c r="G20" s="59">
        <v>3</v>
      </c>
      <c r="H20" s="59">
        <v>3</v>
      </c>
      <c r="I20" s="59">
        <v>3</v>
      </c>
      <c r="J20" s="59">
        <v>2</v>
      </c>
      <c r="K20" s="59">
        <v>3</v>
      </c>
      <c r="L20" s="59">
        <v>3</v>
      </c>
      <c r="M20" s="59">
        <v>0</v>
      </c>
      <c r="N20" s="58">
        <v>0.54500000000000004</v>
      </c>
      <c r="O20" s="58">
        <v>0.3836</v>
      </c>
      <c r="P20" s="59">
        <v>1</v>
      </c>
      <c r="Q20" s="58">
        <v>0.1099</v>
      </c>
      <c r="R20" s="58">
        <v>0.1183</v>
      </c>
      <c r="S20" s="59">
        <v>0</v>
      </c>
      <c r="T20" s="58">
        <v>0.114</v>
      </c>
      <c r="U20" s="58">
        <v>0.104</v>
      </c>
      <c r="V20" s="59">
        <v>3</v>
      </c>
      <c r="W20" s="58">
        <v>0.1053</v>
      </c>
      <c r="X20" s="58">
        <v>9.5899999999999999E-2</v>
      </c>
      <c r="Y20" s="59">
        <v>3</v>
      </c>
      <c r="Z20" s="58">
        <v>0.2833</v>
      </c>
      <c r="AA20" s="58">
        <v>0.28160000000000002</v>
      </c>
      <c r="AB20" s="59">
        <v>2</v>
      </c>
      <c r="AC20" s="58">
        <v>8.0100000000000005E-2</v>
      </c>
      <c r="AD20" s="58">
        <v>0.1411</v>
      </c>
      <c r="AE20" s="59">
        <v>3</v>
      </c>
      <c r="AF20" s="58">
        <v>0.20499999999999999</v>
      </c>
      <c r="AG20" s="58">
        <v>0.30499999999999999</v>
      </c>
      <c r="AH20" s="72"/>
      <c r="AI20" s="58">
        <v>0.54500000000000004</v>
      </c>
      <c r="AJ20" s="58">
        <v>0.21329999999999999</v>
      </c>
      <c r="AK20" s="58">
        <v>0.98372093023255802</v>
      </c>
      <c r="AL20" s="58">
        <v>0.95377128953771295</v>
      </c>
      <c r="AM20" s="58">
        <v>0.94666666666666699</v>
      </c>
      <c r="AN20" s="58">
        <v>0.98372093023255802</v>
      </c>
      <c r="AO20" s="58">
        <v>0.95377128953771295</v>
      </c>
      <c r="AP20" s="58">
        <v>0.91136363636363604</v>
      </c>
      <c r="AQ20" s="58">
        <v>0.14925373134328401</v>
      </c>
      <c r="AR20" s="58">
        <v>8.4468664850136196E-2</v>
      </c>
      <c r="AS20" s="58">
        <v>0.39755351681957202</v>
      </c>
      <c r="AT20" s="58">
        <v>0.15671641791044799</v>
      </c>
      <c r="AU20" s="58">
        <v>4.6321525885558601E-2</v>
      </c>
      <c r="AV20" s="58">
        <v>0.33870967741935498</v>
      </c>
      <c r="AW20" s="58">
        <v>0.33333333333333298</v>
      </c>
      <c r="AX20" s="58">
        <v>0.16</v>
      </c>
      <c r="AY20" s="58">
        <v>0.14285714285714299</v>
      </c>
      <c r="AZ20" s="58">
        <v>0.28571428571428598</v>
      </c>
      <c r="BA20" s="58">
        <v>0.28000000000000003</v>
      </c>
      <c r="BB20" s="58">
        <v>0.41379310344827602</v>
      </c>
      <c r="BC20" s="58">
        <v>0.410525882981785</v>
      </c>
      <c r="BD20" s="58">
        <v>0.45180893767352298</v>
      </c>
      <c r="BE20" s="58">
        <v>0.46058805032286898</v>
      </c>
      <c r="BF20" s="58">
        <v>0.38405493195181101</v>
      </c>
      <c r="BG20" s="58">
        <v>0.36279544659150598</v>
      </c>
      <c r="BH20" s="58">
        <v>0.35069525726859901</v>
      </c>
      <c r="BI20" s="58" t="s">
        <v>2</v>
      </c>
      <c r="BJ20" s="58" t="s">
        <v>2</v>
      </c>
      <c r="BK20" s="58">
        <v>0.63560000000000005</v>
      </c>
      <c r="BL20" s="58">
        <v>9.5899999999999999E-2</v>
      </c>
      <c r="BM20" s="58">
        <v>1.29E-2</v>
      </c>
      <c r="BN20" s="58">
        <v>0.1268</v>
      </c>
      <c r="BO20" s="58">
        <v>0.37319999999999998</v>
      </c>
      <c r="BP20" s="58">
        <v>0.71430000000000005</v>
      </c>
      <c r="BQ20" s="58">
        <v>0.5857</v>
      </c>
      <c r="BR20" s="58">
        <v>0.23330000000000001</v>
      </c>
      <c r="BS20" s="58">
        <v>4.7999999999999996E-3</v>
      </c>
      <c r="BT20" s="58">
        <v>7.0000000000000001E-3</v>
      </c>
      <c r="BU20" s="58">
        <v>4.7999999999999996E-3</v>
      </c>
      <c r="BV20" s="58">
        <v>0</v>
      </c>
      <c r="BW20" s="58">
        <v>0.90359999999999996</v>
      </c>
      <c r="BX20" s="58">
        <v>0.43730000000000002</v>
      </c>
      <c r="BY20" s="58">
        <v>0.84399999999999997</v>
      </c>
      <c r="BZ20" s="58">
        <v>0.54369999999999996</v>
      </c>
      <c r="CA20" s="58">
        <v>0.82469999999999999</v>
      </c>
      <c r="CB20" s="58">
        <v>0.66159999999999997</v>
      </c>
      <c r="CC20" s="58">
        <v>0.97670000000000001</v>
      </c>
      <c r="CD20" s="85" t="s">
        <v>2</v>
      </c>
      <c r="CE20" s="85" t="s">
        <v>2</v>
      </c>
      <c r="CF20" s="58">
        <v>0.99</v>
      </c>
      <c r="CG20" s="58">
        <v>1</v>
      </c>
      <c r="CH20" s="58">
        <v>1</v>
      </c>
      <c r="CI20" s="58">
        <v>0.29089999999999999</v>
      </c>
      <c r="CJ20" s="58">
        <v>0.76359999999999995</v>
      </c>
      <c r="CK20" s="58">
        <v>0.83640000000000003</v>
      </c>
      <c r="CL20" s="60">
        <v>32</v>
      </c>
      <c r="CM20" s="61">
        <v>42</v>
      </c>
      <c r="CN20" s="4"/>
    </row>
    <row r="21" spans="1:92" x14ac:dyDescent="0.25">
      <c r="A21" s="1" t="s">
        <v>40</v>
      </c>
      <c r="B21" s="2" t="s">
        <v>171</v>
      </c>
      <c r="C21" s="2" t="s">
        <v>243</v>
      </c>
      <c r="D21" s="2" t="s">
        <v>153</v>
      </c>
      <c r="E21" s="3">
        <v>29201</v>
      </c>
      <c r="F21" s="59">
        <v>3</v>
      </c>
      <c r="G21" s="59">
        <v>3</v>
      </c>
      <c r="H21" s="59">
        <v>3</v>
      </c>
      <c r="I21" s="59">
        <v>3</v>
      </c>
      <c r="J21" s="59">
        <v>2</v>
      </c>
      <c r="K21" s="59">
        <v>3</v>
      </c>
      <c r="L21" s="59">
        <v>3</v>
      </c>
      <c r="M21" s="59">
        <v>3</v>
      </c>
      <c r="N21" s="58">
        <v>0.81730000000000003</v>
      </c>
      <c r="O21" s="58">
        <v>0.85709999999999997</v>
      </c>
      <c r="P21" s="59">
        <v>2</v>
      </c>
      <c r="Q21" s="58">
        <v>0.17680000000000001</v>
      </c>
      <c r="R21" s="58">
        <v>0.14319999999999999</v>
      </c>
      <c r="S21" s="59">
        <v>0</v>
      </c>
      <c r="T21" s="58">
        <v>0.1222</v>
      </c>
      <c r="U21" s="58">
        <v>6.7100000000000007E-2</v>
      </c>
      <c r="V21" s="59">
        <v>3</v>
      </c>
      <c r="W21" s="58">
        <v>8.6199999999999999E-2</v>
      </c>
      <c r="X21" s="58">
        <v>0.1062</v>
      </c>
      <c r="Y21" s="59">
        <v>3</v>
      </c>
      <c r="Z21" s="58">
        <v>0</v>
      </c>
      <c r="AA21" s="58">
        <v>0</v>
      </c>
      <c r="AB21" s="59">
        <v>3</v>
      </c>
      <c r="AC21" s="58">
        <v>2.35E-2</v>
      </c>
      <c r="AD21" s="58">
        <v>3.6299999999999999E-2</v>
      </c>
      <c r="AE21" s="59">
        <v>1</v>
      </c>
      <c r="AF21" s="58">
        <v>0.28399999999999997</v>
      </c>
      <c r="AG21" s="58">
        <v>0.29299999999999998</v>
      </c>
      <c r="AH21" s="72"/>
      <c r="AI21" s="58">
        <v>0.81730000000000003</v>
      </c>
      <c r="AJ21" s="58">
        <v>9.1300000000000006E-2</v>
      </c>
      <c r="AK21" s="58">
        <v>0.96521739130434803</v>
      </c>
      <c r="AL21" s="58">
        <v>0.93333333333333302</v>
      </c>
      <c r="AM21" s="58">
        <v>0.95985401459854003</v>
      </c>
      <c r="AN21" s="58">
        <v>0.96521739130434803</v>
      </c>
      <c r="AO21" s="58">
        <v>0.94035087719298205</v>
      </c>
      <c r="AP21" s="58">
        <v>0.93975903614457801</v>
      </c>
      <c r="AQ21" s="58">
        <v>0.15887850467289699</v>
      </c>
      <c r="AR21" s="58">
        <v>0.13026819923371599</v>
      </c>
      <c r="AS21" s="58">
        <v>0.63813229571984398</v>
      </c>
      <c r="AT21" s="58">
        <v>9.34579439252336E-2</v>
      </c>
      <c r="AU21" s="58">
        <v>4.5627376425855501E-2</v>
      </c>
      <c r="AV21" s="58">
        <v>0.31981981981981999</v>
      </c>
      <c r="AW21" s="58">
        <v>0.5</v>
      </c>
      <c r="AX21" s="58">
        <v>0.2</v>
      </c>
      <c r="AY21" s="58">
        <v>0.33333333333333298</v>
      </c>
      <c r="AZ21" s="58">
        <v>0.375</v>
      </c>
      <c r="BA21" s="58">
        <v>0.6</v>
      </c>
      <c r="BB21" s="58">
        <v>0.66666666666666696</v>
      </c>
      <c r="BC21" s="58">
        <v>0.27924858562810601</v>
      </c>
      <c r="BD21" s="58">
        <v>0.37810000160310397</v>
      </c>
      <c r="BE21" s="58">
        <v>0.26634274730941598</v>
      </c>
      <c r="BF21" s="58">
        <v>0.192638312759258</v>
      </c>
      <c r="BG21" s="58">
        <v>0.17201354215452</v>
      </c>
      <c r="BH21" s="58">
        <v>0.27264189985038001</v>
      </c>
      <c r="BI21" s="58" t="s">
        <v>2</v>
      </c>
      <c r="BJ21" s="58" t="s">
        <v>2</v>
      </c>
      <c r="BK21" s="58">
        <v>0.79830000000000001</v>
      </c>
      <c r="BL21" s="58">
        <v>0.1062</v>
      </c>
      <c r="BM21" s="58">
        <v>1E-3</v>
      </c>
      <c r="BN21" s="58" t="s">
        <v>23</v>
      </c>
      <c r="BO21" s="58" t="s">
        <v>23</v>
      </c>
      <c r="BP21" s="58" t="s">
        <v>23</v>
      </c>
      <c r="BQ21" s="58" t="s">
        <v>23</v>
      </c>
      <c r="BR21" s="58" t="s">
        <v>23</v>
      </c>
      <c r="BS21" s="58" t="s">
        <v>23</v>
      </c>
      <c r="BT21" s="58" t="s">
        <v>23</v>
      </c>
      <c r="BU21" s="58" t="s">
        <v>23</v>
      </c>
      <c r="BV21" s="58" t="s">
        <v>23</v>
      </c>
      <c r="BW21" s="58">
        <v>1</v>
      </c>
      <c r="BX21" s="58">
        <v>0.68</v>
      </c>
      <c r="BY21" s="58">
        <v>0.95650000000000002</v>
      </c>
      <c r="BZ21" s="58">
        <v>0.72</v>
      </c>
      <c r="CA21" s="58">
        <v>0.94120000000000004</v>
      </c>
      <c r="CB21" s="58">
        <v>0.84</v>
      </c>
      <c r="CC21" s="58">
        <v>0.98729999999999996</v>
      </c>
      <c r="CD21" s="85" t="s">
        <v>2</v>
      </c>
      <c r="CE21" s="85" t="s">
        <v>2</v>
      </c>
      <c r="CF21" s="58">
        <v>0.98680000000000001</v>
      </c>
      <c r="CG21" s="58" t="s">
        <v>23</v>
      </c>
      <c r="CH21" s="58">
        <v>1</v>
      </c>
      <c r="CI21" s="58">
        <v>0.28570000000000001</v>
      </c>
      <c r="CJ21" s="58">
        <v>0.70240000000000002</v>
      </c>
      <c r="CK21" s="58">
        <v>0.77380000000000004</v>
      </c>
      <c r="CL21" s="60">
        <v>32</v>
      </c>
      <c r="CM21" s="61">
        <v>42</v>
      </c>
      <c r="CN21" s="4"/>
    </row>
    <row r="22" spans="1:92" x14ac:dyDescent="0.25">
      <c r="A22" s="1" t="s">
        <v>41</v>
      </c>
      <c r="B22" s="2" t="s">
        <v>172</v>
      </c>
      <c r="C22" s="2" t="s">
        <v>244</v>
      </c>
      <c r="D22" s="2" t="s">
        <v>153</v>
      </c>
      <c r="E22" s="3">
        <v>29342</v>
      </c>
      <c r="F22" s="59">
        <v>3</v>
      </c>
      <c r="G22" s="59">
        <v>3</v>
      </c>
      <c r="H22" s="59">
        <v>3</v>
      </c>
      <c r="I22" s="59">
        <v>3</v>
      </c>
      <c r="J22" s="59">
        <v>2</v>
      </c>
      <c r="K22" s="59">
        <v>3</v>
      </c>
      <c r="L22" s="59">
        <v>3</v>
      </c>
      <c r="M22" s="59">
        <v>0</v>
      </c>
      <c r="N22" s="58">
        <v>0.60470000000000002</v>
      </c>
      <c r="O22" s="58">
        <v>0.51470000000000005</v>
      </c>
      <c r="P22" s="59">
        <v>1</v>
      </c>
      <c r="Q22" s="58">
        <v>8.3299999999999999E-2</v>
      </c>
      <c r="R22" s="58">
        <v>0.1019</v>
      </c>
      <c r="S22" s="59">
        <v>0</v>
      </c>
      <c r="T22" s="58">
        <v>7.1400000000000005E-2</v>
      </c>
      <c r="U22" s="58">
        <v>5.7000000000000002E-2</v>
      </c>
      <c r="V22" s="59">
        <v>3</v>
      </c>
      <c r="W22" s="58">
        <v>0.15240000000000001</v>
      </c>
      <c r="X22" s="58">
        <v>0.13170000000000001</v>
      </c>
      <c r="Y22" s="59">
        <v>3</v>
      </c>
      <c r="Z22" s="58">
        <v>0.20369999999999999</v>
      </c>
      <c r="AA22" s="58">
        <v>0.2321</v>
      </c>
      <c r="AB22" s="59">
        <v>0</v>
      </c>
      <c r="AC22" s="58">
        <v>0.1225</v>
      </c>
      <c r="AD22" s="58">
        <v>0.19700000000000001</v>
      </c>
      <c r="AE22" s="59">
        <v>3</v>
      </c>
      <c r="AF22" s="58">
        <v>0.29899999999999999</v>
      </c>
      <c r="AG22" s="58">
        <v>0.31900000000000001</v>
      </c>
      <c r="AH22" s="72"/>
      <c r="AI22" s="58">
        <v>0.60470000000000002</v>
      </c>
      <c r="AJ22" s="58">
        <v>0.25580000000000003</v>
      </c>
      <c r="AK22" s="58">
        <v>0.98901098901098905</v>
      </c>
      <c r="AL22" s="58">
        <v>0.98795180722891596</v>
      </c>
      <c r="AM22" s="58">
        <v>0.97260273972602695</v>
      </c>
      <c r="AN22" s="58">
        <v>1</v>
      </c>
      <c r="AO22" s="58">
        <v>0.98795180722891596</v>
      </c>
      <c r="AP22" s="58">
        <v>0.97674418604651203</v>
      </c>
      <c r="AQ22" s="58">
        <v>0.17647058823529399</v>
      </c>
      <c r="AR22" s="58">
        <v>1.38888888888889E-2</v>
      </c>
      <c r="AS22" s="58">
        <v>0.26470588235294101</v>
      </c>
      <c r="AT22" s="58">
        <v>8.1395348837209294E-2</v>
      </c>
      <c r="AU22" s="58">
        <v>2.7777777777777801E-2</v>
      </c>
      <c r="AV22" s="58">
        <v>0.23749999999999999</v>
      </c>
      <c r="AW22" s="58">
        <v>0.6</v>
      </c>
      <c r="AX22" s="58">
        <v>0.3</v>
      </c>
      <c r="AY22" s="58">
        <v>0</v>
      </c>
      <c r="AZ22" s="58">
        <v>0.6</v>
      </c>
      <c r="BA22" s="58">
        <v>0.1</v>
      </c>
      <c r="BB22" s="58">
        <v>0</v>
      </c>
      <c r="BC22" s="58">
        <v>0.19600647598488899</v>
      </c>
      <c r="BD22" s="58">
        <v>0.34784744551625602</v>
      </c>
      <c r="BE22" s="58">
        <v>0.45399581780161802</v>
      </c>
      <c r="BF22" s="58">
        <v>0.18417241673055601</v>
      </c>
      <c r="BG22" s="58">
        <v>0.15228653090389399</v>
      </c>
      <c r="BH22" s="58">
        <v>0.18824257425742599</v>
      </c>
      <c r="BI22" s="58" t="s">
        <v>2</v>
      </c>
      <c r="BJ22" s="58" t="s">
        <v>2</v>
      </c>
      <c r="BK22" s="58">
        <v>0.62309999999999999</v>
      </c>
      <c r="BL22" s="58">
        <v>0.13170000000000001</v>
      </c>
      <c r="BM22" s="58">
        <v>1.21E-2</v>
      </c>
      <c r="BN22" s="58">
        <v>0.22220000000000001</v>
      </c>
      <c r="BO22" s="58">
        <v>0.37040000000000001</v>
      </c>
      <c r="BP22" s="58">
        <v>0.66669999999999996</v>
      </c>
      <c r="BQ22" s="58">
        <v>0.56520000000000004</v>
      </c>
      <c r="BR22" s="58">
        <v>8.6999999999999994E-2</v>
      </c>
      <c r="BS22" s="58">
        <v>0</v>
      </c>
      <c r="BT22" s="58">
        <v>0</v>
      </c>
      <c r="BU22" s="58">
        <v>0</v>
      </c>
      <c r="BV22" s="58" t="s">
        <v>23</v>
      </c>
      <c r="BW22" s="58">
        <v>0.70179999999999998</v>
      </c>
      <c r="BX22" s="58">
        <v>0.52939999999999998</v>
      </c>
      <c r="BY22" s="58">
        <v>0.69230000000000003</v>
      </c>
      <c r="BZ22" s="58">
        <v>0.54410000000000003</v>
      </c>
      <c r="CA22" s="58">
        <v>0.77080000000000004</v>
      </c>
      <c r="CB22" s="58">
        <v>0.61760000000000004</v>
      </c>
      <c r="CC22" s="58">
        <v>0.95830000000000004</v>
      </c>
      <c r="CD22" s="85" t="s">
        <v>2</v>
      </c>
      <c r="CE22" s="85" t="s">
        <v>2</v>
      </c>
      <c r="CF22" s="58">
        <v>0.98970000000000002</v>
      </c>
      <c r="CG22" s="58">
        <v>1</v>
      </c>
      <c r="CH22" s="58">
        <v>1</v>
      </c>
      <c r="CI22" s="58">
        <v>0.1923</v>
      </c>
      <c r="CJ22" s="58">
        <v>0.53849999999999998</v>
      </c>
      <c r="CK22" s="58">
        <v>0.73080000000000001</v>
      </c>
      <c r="CL22" s="60">
        <v>30</v>
      </c>
      <c r="CM22" s="61">
        <v>42</v>
      </c>
      <c r="CN22" s="4"/>
    </row>
    <row r="23" spans="1:92" x14ac:dyDescent="0.25">
      <c r="A23" s="1" t="s">
        <v>42</v>
      </c>
      <c r="B23" s="2" t="s">
        <v>173</v>
      </c>
      <c r="C23" s="2" t="s">
        <v>42</v>
      </c>
      <c r="D23" s="2" t="s">
        <v>153</v>
      </c>
      <c r="E23" s="3">
        <v>29706</v>
      </c>
      <c r="F23" s="59">
        <v>3</v>
      </c>
      <c r="G23" s="59">
        <v>3</v>
      </c>
      <c r="H23" s="59">
        <v>3</v>
      </c>
      <c r="I23" s="59">
        <v>3</v>
      </c>
      <c r="J23" s="59">
        <v>3</v>
      </c>
      <c r="K23" s="59">
        <v>3</v>
      </c>
      <c r="L23" s="59">
        <v>3</v>
      </c>
      <c r="M23" s="59">
        <v>3</v>
      </c>
      <c r="N23" s="58">
        <v>0.61539999999999995</v>
      </c>
      <c r="O23" s="58">
        <v>0.68520000000000003</v>
      </c>
      <c r="P23" s="59">
        <v>1</v>
      </c>
      <c r="Q23" s="58">
        <v>3.2800000000000003E-2</v>
      </c>
      <c r="R23" s="58">
        <v>6.6100000000000006E-2</v>
      </c>
      <c r="S23" s="59">
        <v>1</v>
      </c>
      <c r="T23" s="58">
        <v>4.07E-2</v>
      </c>
      <c r="U23" s="58">
        <v>9.0200000000000002E-2</v>
      </c>
      <c r="V23" s="59">
        <v>3</v>
      </c>
      <c r="W23" s="58">
        <v>4.8899999999999999E-2</v>
      </c>
      <c r="X23" s="58">
        <v>5.28E-2</v>
      </c>
      <c r="Y23" s="59">
        <v>0</v>
      </c>
      <c r="Z23" s="58">
        <v>0.18179999999999999</v>
      </c>
      <c r="AA23" s="58">
        <v>0.54049999999999998</v>
      </c>
      <c r="AB23" s="59">
        <v>3</v>
      </c>
      <c r="AC23" s="58">
        <v>2.7300000000000001E-2</v>
      </c>
      <c r="AD23" s="58">
        <v>8.72E-2</v>
      </c>
      <c r="AE23" s="59">
        <v>0</v>
      </c>
      <c r="AF23" s="58">
        <v>0.27300000000000002</v>
      </c>
      <c r="AG23" s="58">
        <v>0.20799999999999999</v>
      </c>
      <c r="AH23" s="72"/>
      <c r="AI23" s="58">
        <v>0.61539999999999995</v>
      </c>
      <c r="AJ23" s="58">
        <v>0.23080000000000001</v>
      </c>
      <c r="AK23" s="58">
        <v>0.971830985915493</v>
      </c>
      <c r="AL23" s="58">
        <v>0.98275862068965503</v>
      </c>
      <c r="AM23" s="58">
        <v>0.94545454545454499</v>
      </c>
      <c r="AN23" s="58">
        <v>0.971830985915493</v>
      </c>
      <c r="AO23" s="58">
        <v>1</v>
      </c>
      <c r="AP23" s="58">
        <v>0.929824561403509</v>
      </c>
      <c r="AQ23" s="58">
        <v>9.2307692307692299E-2</v>
      </c>
      <c r="AR23" s="58">
        <v>3.5714285714285698E-2</v>
      </c>
      <c r="AS23" s="58">
        <v>0.27906976744186002</v>
      </c>
      <c r="AT23" s="58">
        <v>0.138461538461538</v>
      </c>
      <c r="AU23" s="58">
        <v>3.5087719298245598E-2</v>
      </c>
      <c r="AV23" s="58">
        <v>0.25</v>
      </c>
      <c r="AW23" s="58">
        <v>0.5</v>
      </c>
      <c r="AX23" s="58">
        <v>1</v>
      </c>
      <c r="AY23" s="58">
        <v>0.22222222222222199</v>
      </c>
      <c r="AZ23" s="58">
        <v>0.75</v>
      </c>
      <c r="BA23" s="58">
        <v>0</v>
      </c>
      <c r="BB23" s="58">
        <v>0.22222222222222199</v>
      </c>
      <c r="BC23" s="58">
        <v>0.33322422258592499</v>
      </c>
      <c r="BD23" s="58">
        <v>0.30020302694721301</v>
      </c>
      <c r="BE23" s="58">
        <v>0.49089828367635002</v>
      </c>
      <c r="BF23" s="58">
        <v>0.26579378068739801</v>
      </c>
      <c r="BG23" s="58">
        <v>9.3778260083197701E-2</v>
      </c>
      <c r="BH23" s="58">
        <v>0.36153846153846197</v>
      </c>
      <c r="BI23" s="58" t="s">
        <v>2</v>
      </c>
      <c r="BJ23" s="58" t="s">
        <v>2</v>
      </c>
      <c r="BK23" s="58">
        <v>0.82499999999999996</v>
      </c>
      <c r="BL23" s="58">
        <v>5.28E-2</v>
      </c>
      <c r="BM23" s="58">
        <v>8.3000000000000001E-3</v>
      </c>
      <c r="BN23" s="58">
        <v>0</v>
      </c>
      <c r="BO23" s="58">
        <v>0.88239999999999996</v>
      </c>
      <c r="BP23" s="58">
        <v>1</v>
      </c>
      <c r="BQ23" s="58">
        <v>0.64710000000000001</v>
      </c>
      <c r="BR23" s="58">
        <v>0.29409999999999997</v>
      </c>
      <c r="BS23" s="58">
        <v>0</v>
      </c>
      <c r="BT23" s="58">
        <v>0</v>
      </c>
      <c r="BU23" s="58">
        <v>0</v>
      </c>
      <c r="BV23" s="58" t="s">
        <v>23</v>
      </c>
      <c r="BW23" s="58">
        <v>0.97219999999999995</v>
      </c>
      <c r="BX23" s="58">
        <v>0.66669999999999996</v>
      </c>
      <c r="BY23" s="58">
        <v>0.97140000000000004</v>
      </c>
      <c r="BZ23" s="58">
        <v>0.53849999999999998</v>
      </c>
      <c r="CA23" s="58">
        <v>0.96879999999999999</v>
      </c>
      <c r="CB23" s="58">
        <v>0.79490000000000005</v>
      </c>
      <c r="CC23" s="58">
        <v>1</v>
      </c>
      <c r="CD23" s="85" t="s">
        <v>2</v>
      </c>
      <c r="CE23" s="85" t="s">
        <v>2</v>
      </c>
      <c r="CF23" s="58">
        <v>1</v>
      </c>
      <c r="CG23" s="58">
        <v>1</v>
      </c>
      <c r="CH23" s="58">
        <v>1</v>
      </c>
      <c r="CI23" s="58">
        <v>7.1400000000000005E-2</v>
      </c>
      <c r="CJ23" s="58">
        <v>0.71430000000000005</v>
      </c>
      <c r="CK23" s="58">
        <v>0.78569999999999995</v>
      </c>
      <c r="CL23" s="60">
        <v>32</v>
      </c>
      <c r="CM23" s="61">
        <v>42</v>
      </c>
      <c r="CN23" s="4"/>
    </row>
    <row r="24" spans="1:92" x14ac:dyDescent="0.25">
      <c r="A24" s="1" t="s">
        <v>43</v>
      </c>
      <c r="B24" s="2" t="s">
        <v>174</v>
      </c>
      <c r="C24" s="2" t="s">
        <v>43</v>
      </c>
      <c r="D24" s="2" t="s">
        <v>153</v>
      </c>
      <c r="E24" s="3">
        <v>29709</v>
      </c>
      <c r="F24" s="59">
        <v>3</v>
      </c>
      <c r="G24" s="59">
        <v>3</v>
      </c>
      <c r="H24" s="59">
        <v>3</v>
      </c>
      <c r="I24" s="59">
        <v>3</v>
      </c>
      <c r="J24" s="59">
        <v>3</v>
      </c>
      <c r="K24" s="59">
        <v>3</v>
      </c>
      <c r="L24" s="59">
        <v>3</v>
      </c>
      <c r="M24" s="59">
        <v>0</v>
      </c>
      <c r="N24" s="58">
        <v>0.48649999999999999</v>
      </c>
      <c r="O24" s="58">
        <v>0.41860000000000003</v>
      </c>
      <c r="P24" s="59">
        <v>1</v>
      </c>
      <c r="Q24" s="58">
        <v>8.4699999999999998E-2</v>
      </c>
      <c r="R24" s="58">
        <v>8.5300000000000001E-2</v>
      </c>
      <c r="S24" s="59">
        <v>0</v>
      </c>
      <c r="T24" s="58">
        <v>9.2399999999999996E-2</v>
      </c>
      <c r="U24" s="58">
        <v>6.9800000000000001E-2</v>
      </c>
      <c r="V24" s="59">
        <v>1</v>
      </c>
      <c r="W24" s="58">
        <v>0.2228</v>
      </c>
      <c r="X24" s="58">
        <v>0.21029999999999999</v>
      </c>
      <c r="Y24" s="59">
        <v>3</v>
      </c>
      <c r="Z24" s="58">
        <v>0</v>
      </c>
      <c r="AA24" s="58">
        <v>0</v>
      </c>
      <c r="AB24" s="59">
        <v>0</v>
      </c>
      <c r="AC24" s="58">
        <v>9.5100000000000004E-2</v>
      </c>
      <c r="AD24" s="58">
        <v>0.17849999999999999</v>
      </c>
      <c r="AE24" s="59">
        <v>3</v>
      </c>
      <c r="AF24" s="58">
        <v>0.34499999999999997</v>
      </c>
      <c r="AG24" s="58">
        <v>0.52900000000000003</v>
      </c>
      <c r="AH24" s="72"/>
      <c r="AI24" s="58">
        <v>0.48649999999999999</v>
      </c>
      <c r="AJ24" s="58">
        <v>0.48649999999999999</v>
      </c>
      <c r="AK24" s="58">
        <v>1</v>
      </c>
      <c r="AL24" s="58">
        <v>1</v>
      </c>
      <c r="AM24" s="58">
        <v>0.92857142857142905</v>
      </c>
      <c r="AN24" s="58">
        <v>1</v>
      </c>
      <c r="AO24" s="58">
        <v>1</v>
      </c>
      <c r="AP24" s="58">
        <v>0.88461538461538503</v>
      </c>
      <c r="AQ24" s="58">
        <v>0.107692307692308</v>
      </c>
      <c r="AR24" s="58">
        <v>6.25E-2</v>
      </c>
      <c r="AS24" s="58">
        <v>0.37777777777777799</v>
      </c>
      <c r="AT24" s="58">
        <v>9.2307692307692299E-2</v>
      </c>
      <c r="AU24" s="58">
        <v>4.6875E-2</v>
      </c>
      <c r="AV24" s="58">
        <v>0.112903225806452</v>
      </c>
      <c r="AW24" s="58">
        <v>0</v>
      </c>
      <c r="AX24" s="58">
        <v>1</v>
      </c>
      <c r="AY24" s="58">
        <v>0.71428571428571397</v>
      </c>
      <c r="AZ24" s="58">
        <v>0.5</v>
      </c>
      <c r="BA24" s="58">
        <v>0.5</v>
      </c>
      <c r="BB24" s="58">
        <v>0.28571428571428598</v>
      </c>
      <c r="BC24" s="58">
        <v>0.22949459018823201</v>
      </c>
      <c r="BD24" s="58">
        <v>0.25865384615384601</v>
      </c>
      <c r="BE24" s="58">
        <v>0.41506591337099802</v>
      </c>
      <c r="BF24" s="58">
        <v>0.14468652734548701</v>
      </c>
      <c r="BG24" s="58">
        <v>0.12745450191570901</v>
      </c>
      <c r="BH24" s="58">
        <v>0.33287990672366902</v>
      </c>
      <c r="BI24" s="58" t="s">
        <v>2</v>
      </c>
      <c r="BJ24" s="58" t="s">
        <v>2</v>
      </c>
      <c r="BK24" s="58">
        <v>0.5585</v>
      </c>
      <c r="BL24" s="58">
        <v>0.21029999999999999</v>
      </c>
      <c r="BM24" s="58">
        <v>9.7000000000000003E-3</v>
      </c>
      <c r="BN24" s="58">
        <v>1</v>
      </c>
      <c r="BO24" s="58" t="s">
        <v>23</v>
      </c>
      <c r="BP24" s="58">
        <v>1</v>
      </c>
      <c r="BQ24" s="58">
        <v>0.9</v>
      </c>
      <c r="BR24" s="58" t="s">
        <v>23</v>
      </c>
      <c r="BS24" s="58">
        <v>0.1</v>
      </c>
      <c r="BT24" s="58" t="s">
        <v>23</v>
      </c>
      <c r="BU24" s="58">
        <v>0.1</v>
      </c>
      <c r="BV24" s="58" t="s">
        <v>23</v>
      </c>
      <c r="BW24" s="58">
        <v>1</v>
      </c>
      <c r="BX24" s="58">
        <v>0.52380000000000004</v>
      </c>
      <c r="BY24" s="58">
        <v>1</v>
      </c>
      <c r="BZ24" s="58">
        <v>0.38100000000000001</v>
      </c>
      <c r="CA24" s="58">
        <v>1</v>
      </c>
      <c r="CB24" s="58">
        <v>0.61899999999999999</v>
      </c>
      <c r="CC24" s="58">
        <v>0.98150000000000004</v>
      </c>
      <c r="CD24" s="85" t="s">
        <v>2</v>
      </c>
      <c r="CE24" s="85" t="s">
        <v>2</v>
      </c>
      <c r="CF24" s="58">
        <v>1</v>
      </c>
      <c r="CG24" s="58">
        <v>1</v>
      </c>
      <c r="CH24" s="58">
        <v>1</v>
      </c>
      <c r="CI24" s="58">
        <v>0.33329999999999999</v>
      </c>
      <c r="CJ24" s="58">
        <v>0.83330000000000004</v>
      </c>
      <c r="CK24" s="58">
        <v>0.83330000000000004</v>
      </c>
      <c r="CL24" s="60">
        <v>29</v>
      </c>
      <c r="CM24" s="61">
        <v>42</v>
      </c>
      <c r="CN24" s="4"/>
    </row>
    <row r="25" spans="1:92" x14ac:dyDescent="0.25">
      <c r="A25" s="1" t="s">
        <v>44</v>
      </c>
      <c r="B25" s="2" t="s">
        <v>175</v>
      </c>
      <c r="C25" s="2" t="s">
        <v>245</v>
      </c>
      <c r="D25" s="2" t="s">
        <v>153</v>
      </c>
      <c r="E25" s="3">
        <v>29102</v>
      </c>
      <c r="F25" s="59">
        <v>3</v>
      </c>
      <c r="G25" s="59">
        <v>3</v>
      </c>
      <c r="H25" s="59">
        <v>3</v>
      </c>
      <c r="I25" s="59">
        <v>3</v>
      </c>
      <c r="J25" s="59">
        <v>3</v>
      </c>
      <c r="K25" s="59">
        <v>3</v>
      </c>
      <c r="L25" s="59">
        <v>3</v>
      </c>
      <c r="M25" s="59">
        <v>3</v>
      </c>
      <c r="N25" s="58">
        <v>0.60870000000000002</v>
      </c>
      <c r="O25" s="58">
        <v>0.7429</v>
      </c>
      <c r="P25" s="59">
        <v>3</v>
      </c>
      <c r="Q25" s="58">
        <v>0.25</v>
      </c>
      <c r="R25" s="58">
        <v>0.15559999999999999</v>
      </c>
      <c r="S25" s="59">
        <v>1</v>
      </c>
      <c r="T25" s="58">
        <v>0</v>
      </c>
      <c r="U25" s="58">
        <v>0.1111</v>
      </c>
      <c r="V25" s="59">
        <v>0</v>
      </c>
      <c r="W25" s="58">
        <v>0.18970000000000001</v>
      </c>
      <c r="X25" s="58">
        <v>0.2135</v>
      </c>
      <c r="Y25" s="59">
        <v>3</v>
      </c>
      <c r="Z25" s="58">
        <v>0</v>
      </c>
      <c r="AA25" s="58">
        <v>0</v>
      </c>
      <c r="AB25" s="59">
        <v>0</v>
      </c>
      <c r="AC25" s="58">
        <v>0</v>
      </c>
      <c r="AD25" s="58">
        <v>0.19620000000000001</v>
      </c>
      <c r="AE25" s="59">
        <v>1</v>
      </c>
      <c r="AF25" s="58">
        <v>0.03</v>
      </c>
      <c r="AG25" s="58">
        <v>0.25</v>
      </c>
      <c r="AH25" s="72"/>
      <c r="AI25" s="58">
        <v>0.60870000000000002</v>
      </c>
      <c r="AJ25" s="58">
        <v>0</v>
      </c>
      <c r="AK25" s="58">
        <v>0.89655172413793105</v>
      </c>
      <c r="AL25" s="58">
        <v>0.92592592592592604</v>
      </c>
      <c r="AM25" s="58">
        <v>0.92</v>
      </c>
      <c r="AN25" s="58">
        <v>0.89655172413793105</v>
      </c>
      <c r="AO25" s="58">
        <v>0.92592592592592604</v>
      </c>
      <c r="AP25" s="58">
        <v>0.92105263157894701</v>
      </c>
      <c r="AQ25" s="58">
        <v>0.14285714285714299</v>
      </c>
      <c r="AR25" s="58">
        <v>0.16666666666666699</v>
      </c>
      <c r="AS25" s="58">
        <v>0.52631578947368396</v>
      </c>
      <c r="AT25" s="58">
        <v>0.238095238095238</v>
      </c>
      <c r="AU25" s="58">
        <v>0</v>
      </c>
      <c r="AV25" s="58">
        <v>3.2258064516128997E-2</v>
      </c>
      <c r="AW25" s="58">
        <v>0</v>
      </c>
      <c r="AX25" s="58">
        <v>1</v>
      </c>
      <c r="AY25" s="58">
        <v>0</v>
      </c>
      <c r="AZ25" s="58">
        <v>0</v>
      </c>
      <c r="BA25" s="58">
        <v>1</v>
      </c>
      <c r="BB25" s="58">
        <v>0</v>
      </c>
      <c r="BC25" s="58">
        <v>0.15851272015655599</v>
      </c>
      <c r="BD25" s="58">
        <v>0.22537878787878801</v>
      </c>
      <c r="BE25" s="58">
        <v>0.25654135338345901</v>
      </c>
      <c r="BF25" s="58">
        <v>3.5877364644487902E-2</v>
      </c>
      <c r="BG25" s="58">
        <v>0.29213483146067398</v>
      </c>
      <c r="BH25" s="58">
        <v>0.42709152897980601</v>
      </c>
      <c r="BI25" s="58" t="s">
        <v>2</v>
      </c>
      <c r="BJ25" s="58" t="s">
        <v>2</v>
      </c>
      <c r="BK25" s="58">
        <v>0.59830000000000005</v>
      </c>
      <c r="BL25" s="58">
        <v>0.2135</v>
      </c>
      <c r="BM25" s="58">
        <v>8.3999999999999995E-3</v>
      </c>
      <c r="BN25" s="58">
        <v>1</v>
      </c>
      <c r="BO25" s="58" t="s">
        <v>23</v>
      </c>
      <c r="BP25" s="58">
        <v>1</v>
      </c>
      <c r="BQ25" s="58">
        <v>0.875</v>
      </c>
      <c r="BR25" s="58" t="s">
        <v>23</v>
      </c>
      <c r="BS25" s="58">
        <v>0.125</v>
      </c>
      <c r="BT25" s="58" t="s">
        <v>23</v>
      </c>
      <c r="BU25" s="58">
        <v>0.125</v>
      </c>
      <c r="BV25" s="58" t="s">
        <v>23</v>
      </c>
      <c r="BW25" s="58">
        <v>0.93330000000000002</v>
      </c>
      <c r="BX25" s="58">
        <v>0.5625</v>
      </c>
      <c r="BY25" s="58">
        <v>0.86670000000000003</v>
      </c>
      <c r="BZ25" s="58">
        <v>0.75</v>
      </c>
      <c r="CA25" s="58">
        <v>0.92859999999999998</v>
      </c>
      <c r="CB25" s="58">
        <v>0.6875</v>
      </c>
      <c r="CC25" s="58">
        <v>1</v>
      </c>
      <c r="CD25" s="85" t="s">
        <v>2</v>
      </c>
      <c r="CE25" s="85" t="s">
        <v>2</v>
      </c>
      <c r="CF25" s="58">
        <v>1</v>
      </c>
      <c r="CG25" s="58">
        <v>1</v>
      </c>
      <c r="CH25" s="58">
        <v>0.5</v>
      </c>
      <c r="CI25" s="58">
        <v>0</v>
      </c>
      <c r="CJ25" s="58">
        <v>0.8</v>
      </c>
      <c r="CK25" s="58">
        <v>0.8</v>
      </c>
      <c r="CL25" s="60">
        <v>32</v>
      </c>
      <c r="CM25" s="61">
        <v>42</v>
      </c>
      <c r="CN25" s="4"/>
    </row>
    <row r="26" spans="1:92" x14ac:dyDescent="0.25">
      <c r="A26" s="1" t="s">
        <v>454</v>
      </c>
      <c r="B26" s="2" t="s">
        <v>484</v>
      </c>
      <c r="C26" s="2" t="s">
        <v>245</v>
      </c>
      <c r="D26" s="2" t="s">
        <v>153</v>
      </c>
      <c r="E26" s="3">
        <v>29102</v>
      </c>
      <c r="F26" s="59">
        <v>3</v>
      </c>
      <c r="G26" s="59">
        <v>3</v>
      </c>
      <c r="H26" s="59">
        <v>3</v>
      </c>
      <c r="I26" s="59">
        <v>3</v>
      </c>
      <c r="J26" s="59">
        <v>3</v>
      </c>
      <c r="K26" s="59">
        <v>3</v>
      </c>
      <c r="L26" s="59">
        <v>3</v>
      </c>
      <c r="M26" s="59" t="s">
        <v>537</v>
      </c>
      <c r="N26" s="58">
        <v>0.8125</v>
      </c>
      <c r="O26" s="58">
        <v>0.55559999999999998</v>
      </c>
      <c r="P26" s="59" t="s">
        <v>603</v>
      </c>
      <c r="Q26" s="58">
        <v>9.8000000000000004E-2</v>
      </c>
      <c r="R26" s="58">
        <v>0.1042</v>
      </c>
      <c r="S26" s="59">
        <v>0</v>
      </c>
      <c r="T26" s="58">
        <v>0.13730000000000001</v>
      </c>
      <c r="U26" s="58">
        <v>8.3299999999999999E-2</v>
      </c>
      <c r="V26" s="59">
        <v>0</v>
      </c>
      <c r="W26" s="58">
        <v>0.11990000000000001</v>
      </c>
      <c r="X26" s="58">
        <v>0.1653</v>
      </c>
      <c r="Y26" s="59" t="s">
        <v>604</v>
      </c>
      <c r="Z26" s="58">
        <v>0</v>
      </c>
      <c r="AA26" s="58">
        <v>0</v>
      </c>
      <c r="AB26" s="59" t="s">
        <v>537</v>
      </c>
      <c r="AC26" s="58">
        <v>1</v>
      </c>
      <c r="AD26" s="58">
        <v>0.1318</v>
      </c>
      <c r="AE26" s="59" t="s">
        <v>536</v>
      </c>
      <c r="AF26" s="58">
        <v>0.214</v>
      </c>
      <c r="AG26" s="58">
        <v>0.05</v>
      </c>
      <c r="AH26" s="72"/>
      <c r="AI26" s="58">
        <v>0.8125</v>
      </c>
      <c r="AJ26" s="58">
        <v>0.1875</v>
      </c>
      <c r="AK26" s="58">
        <v>1</v>
      </c>
      <c r="AL26" s="58">
        <v>1</v>
      </c>
      <c r="AM26" s="58">
        <v>0.9375</v>
      </c>
      <c r="AN26" s="58">
        <v>1</v>
      </c>
      <c r="AO26" s="58">
        <v>1</v>
      </c>
      <c r="AP26" s="58">
        <v>0.96428571428571397</v>
      </c>
      <c r="AQ26" s="58">
        <v>0.15384615384615399</v>
      </c>
      <c r="AR26" s="58">
        <v>4.5454545454545497E-2</v>
      </c>
      <c r="AS26" s="58">
        <v>0.30769230769230799</v>
      </c>
      <c r="AT26" s="58">
        <v>0.15384615384615399</v>
      </c>
      <c r="AU26" s="58">
        <v>0</v>
      </c>
      <c r="AV26" s="58">
        <v>7.69230769230769E-2</v>
      </c>
      <c r="AW26" s="58" t="s">
        <v>23</v>
      </c>
      <c r="AX26" s="58">
        <v>1</v>
      </c>
      <c r="AY26" s="58">
        <v>0</v>
      </c>
      <c r="AZ26" s="58" t="s">
        <v>23</v>
      </c>
      <c r="BA26" s="58">
        <v>0</v>
      </c>
      <c r="BB26" s="58">
        <v>0</v>
      </c>
      <c r="BC26" s="58">
        <v>0.40329670329670297</v>
      </c>
      <c r="BD26" s="58">
        <v>0.385795454545455</v>
      </c>
      <c r="BE26" s="58">
        <v>0.54945054945054905</v>
      </c>
      <c r="BF26" s="58">
        <v>0.18901098901098901</v>
      </c>
      <c r="BG26" s="58">
        <v>0.23749999999999999</v>
      </c>
      <c r="BH26" s="58">
        <v>0.256410256410256</v>
      </c>
      <c r="BI26" s="58" t="s">
        <v>23</v>
      </c>
      <c r="BJ26" s="58" t="s">
        <v>23</v>
      </c>
      <c r="BK26" s="58">
        <v>0.5887</v>
      </c>
      <c r="BL26" s="58">
        <v>0.1653</v>
      </c>
      <c r="BM26" s="58">
        <v>4.0000000000000001E-3</v>
      </c>
      <c r="BN26" s="58">
        <v>1</v>
      </c>
      <c r="BO26" s="58" t="s">
        <v>23</v>
      </c>
      <c r="BP26" s="58" t="s">
        <v>23</v>
      </c>
      <c r="BQ26" s="58">
        <v>1</v>
      </c>
      <c r="BR26" s="58" t="s">
        <v>23</v>
      </c>
      <c r="BS26" s="58" t="s">
        <v>23</v>
      </c>
      <c r="BT26" s="58" t="s">
        <v>23</v>
      </c>
      <c r="BU26" s="58" t="s">
        <v>23</v>
      </c>
      <c r="BV26" s="58" t="s">
        <v>23</v>
      </c>
      <c r="BW26" s="58">
        <v>0.6</v>
      </c>
      <c r="BX26" s="58">
        <v>0.66669999999999996</v>
      </c>
      <c r="BY26" s="58">
        <v>0.77780000000000005</v>
      </c>
      <c r="BZ26" s="58">
        <v>0.22220000000000001</v>
      </c>
      <c r="CA26" s="58">
        <v>0.6</v>
      </c>
      <c r="CB26" s="58">
        <v>0.66669999999999996</v>
      </c>
      <c r="CC26" s="58">
        <v>1</v>
      </c>
      <c r="CD26" s="85" t="s">
        <v>2</v>
      </c>
      <c r="CE26" s="85" t="s">
        <v>2</v>
      </c>
      <c r="CF26" s="58">
        <v>0</v>
      </c>
      <c r="CG26" s="58">
        <v>1</v>
      </c>
      <c r="CH26" s="58">
        <v>1</v>
      </c>
      <c r="CI26" s="58">
        <v>0</v>
      </c>
      <c r="CJ26" s="58">
        <v>1</v>
      </c>
      <c r="CK26" s="58">
        <v>1</v>
      </c>
      <c r="CL26" s="60">
        <v>26</v>
      </c>
      <c r="CM26" s="61">
        <v>42</v>
      </c>
      <c r="CN26" s="4"/>
    </row>
    <row r="27" spans="1:92" x14ac:dyDescent="0.25">
      <c r="A27" s="1" t="s">
        <v>45</v>
      </c>
      <c r="B27" s="2" t="s">
        <v>176</v>
      </c>
      <c r="C27" s="2" t="s">
        <v>246</v>
      </c>
      <c r="D27" s="2" t="s">
        <v>153</v>
      </c>
      <c r="E27" s="3">
        <v>29488</v>
      </c>
      <c r="F27" s="59">
        <v>3</v>
      </c>
      <c r="G27" s="59">
        <v>3</v>
      </c>
      <c r="H27" s="59">
        <v>2</v>
      </c>
      <c r="I27" s="59">
        <v>3</v>
      </c>
      <c r="J27" s="59">
        <v>2</v>
      </c>
      <c r="K27" s="59">
        <v>3</v>
      </c>
      <c r="L27" s="59">
        <v>3</v>
      </c>
      <c r="M27" s="59">
        <v>1</v>
      </c>
      <c r="N27" s="58">
        <v>2.63E-2</v>
      </c>
      <c r="O27" s="58">
        <v>0.45450000000000002</v>
      </c>
      <c r="P27" s="59">
        <v>1</v>
      </c>
      <c r="Q27" s="58">
        <v>6.0299999999999999E-2</v>
      </c>
      <c r="R27" s="58">
        <v>9.5699999999999993E-2</v>
      </c>
      <c r="S27" s="59">
        <v>0</v>
      </c>
      <c r="T27" s="58">
        <v>3.39E-2</v>
      </c>
      <c r="U27" s="58">
        <v>8.5000000000000006E-3</v>
      </c>
      <c r="V27" s="59">
        <v>3</v>
      </c>
      <c r="W27" s="58">
        <v>0.1245</v>
      </c>
      <c r="X27" s="58">
        <v>0.12670000000000001</v>
      </c>
      <c r="Y27" s="59">
        <v>0</v>
      </c>
      <c r="Z27" s="58">
        <v>0.4143</v>
      </c>
      <c r="AA27" s="58">
        <v>0.46300000000000002</v>
      </c>
      <c r="AB27" s="59">
        <v>0</v>
      </c>
      <c r="AC27" s="58">
        <v>5.9200000000000003E-2</v>
      </c>
      <c r="AD27" s="58">
        <v>0.2291</v>
      </c>
      <c r="AE27" s="59">
        <v>1</v>
      </c>
      <c r="AF27" s="58">
        <v>0.13100000000000001</v>
      </c>
      <c r="AG27" s="58">
        <v>0.20899999999999999</v>
      </c>
      <c r="AH27" s="72"/>
      <c r="AI27" s="58">
        <v>2.63E-2</v>
      </c>
      <c r="AJ27" s="58">
        <v>0.65790000000000004</v>
      </c>
      <c r="AK27" s="58">
        <v>0.96</v>
      </c>
      <c r="AL27" s="58">
        <v>0.96153846153846201</v>
      </c>
      <c r="AM27" s="58">
        <v>0.87755102040816302</v>
      </c>
      <c r="AN27" s="58">
        <v>0.96</v>
      </c>
      <c r="AO27" s="58">
        <v>0.98701298701298701</v>
      </c>
      <c r="AP27" s="58">
        <v>0.83076923076923104</v>
      </c>
      <c r="AQ27" s="58">
        <v>0.17777777777777801</v>
      </c>
      <c r="AR27" s="58">
        <v>4.2857142857142899E-2</v>
      </c>
      <c r="AS27" s="58">
        <v>0.29729729729729698</v>
      </c>
      <c r="AT27" s="58">
        <v>2.2222222222222199E-2</v>
      </c>
      <c r="AU27" s="58">
        <v>0</v>
      </c>
      <c r="AV27" s="58">
        <v>0.14583333333333301</v>
      </c>
      <c r="AW27" s="58">
        <v>0</v>
      </c>
      <c r="AX27" s="58">
        <v>0.2</v>
      </c>
      <c r="AY27" s="58">
        <v>0.16666666666666699</v>
      </c>
      <c r="AZ27" s="58">
        <v>0</v>
      </c>
      <c r="BA27" s="58">
        <v>0.25</v>
      </c>
      <c r="BB27" s="58">
        <v>0.16666666666666699</v>
      </c>
      <c r="BC27" s="58">
        <v>7.5308641975308593E-2</v>
      </c>
      <c r="BD27" s="58">
        <v>0.20098522167487701</v>
      </c>
      <c r="BE27" s="58">
        <v>0.48771898934765401</v>
      </c>
      <c r="BF27" s="58">
        <v>0.10780873753009999</v>
      </c>
      <c r="BG27" s="58">
        <v>8.2926829268292701E-2</v>
      </c>
      <c r="BH27" s="58">
        <v>0.16069932998325001</v>
      </c>
      <c r="BI27" s="58" t="s">
        <v>2</v>
      </c>
      <c r="BJ27" s="58" t="s">
        <v>2</v>
      </c>
      <c r="BK27" s="58">
        <v>0.5383</v>
      </c>
      <c r="BL27" s="58">
        <v>0.12670000000000001</v>
      </c>
      <c r="BM27" s="58">
        <v>6.3E-3</v>
      </c>
      <c r="BN27" s="58">
        <v>0</v>
      </c>
      <c r="BO27" s="58">
        <v>0.75</v>
      </c>
      <c r="BP27" s="58">
        <v>0.42859999999999998</v>
      </c>
      <c r="BQ27" s="58">
        <v>0.62960000000000005</v>
      </c>
      <c r="BR27" s="58">
        <v>0.29630000000000001</v>
      </c>
      <c r="BS27" s="58">
        <v>0</v>
      </c>
      <c r="BT27" s="58">
        <v>0</v>
      </c>
      <c r="BU27" s="58">
        <v>0</v>
      </c>
      <c r="BV27" s="58" t="s">
        <v>23</v>
      </c>
      <c r="BW27" s="58">
        <v>0.83609999999999995</v>
      </c>
      <c r="BX27" s="58">
        <v>0.57750000000000001</v>
      </c>
      <c r="BY27" s="58">
        <v>0.77080000000000004</v>
      </c>
      <c r="BZ27" s="58">
        <v>0.60560000000000003</v>
      </c>
      <c r="CA27" s="58">
        <v>0.78</v>
      </c>
      <c r="CB27" s="58">
        <v>0.71830000000000005</v>
      </c>
      <c r="CC27" s="58">
        <v>1</v>
      </c>
      <c r="CD27" s="85" t="s">
        <v>2</v>
      </c>
      <c r="CE27" s="85" t="s">
        <v>2</v>
      </c>
      <c r="CF27" s="58">
        <v>0.98399999999999999</v>
      </c>
      <c r="CG27" s="58">
        <v>1</v>
      </c>
      <c r="CH27" s="58">
        <v>1</v>
      </c>
      <c r="CI27" s="58">
        <v>9.0899999999999995E-2</v>
      </c>
      <c r="CJ27" s="58">
        <v>0.63639999999999997</v>
      </c>
      <c r="CK27" s="58">
        <v>0.72729999999999995</v>
      </c>
      <c r="CL27" s="60">
        <v>25</v>
      </c>
      <c r="CM27" s="61">
        <v>42</v>
      </c>
      <c r="CN27" s="4"/>
    </row>
    <row r="28" spans="1:92" x14ac:dyDescent="0.25">
      <c r="A28" s="1" t="s">
        <v>46</v>
      </c>
      <c r="B28" s="2" t="s">
        <v>177</v>
      </c>
      <c r="C28" s="2" t="s">
        <v>46</v>
      </c>
      <c r="D28" s="2" t="s">
        <v>153</v>
      </c>
      <c r="E28" s="3">
        <v>29532</v>
      </c>
      <c r="F28" s="59">
        <v>3</v>
      </c>
      <c r="G28" s="59">
        <v>3</v>
      </c>
      <c r="H28" s="59">
        <v>3</v>
      </c>
      <c r="I28" s="59">
        <v>3</v>
      </c>
      <c r="J28" s="59">
        <v>3</v>
      </c>
      <c r="K28" s="59">
        <v>2</v>
      </c>
      <c r="L28" s="59">
        <v>3</v>
      </c>
      <c r="M28" s="59">
        <v>2</v>
      </c>
      <c r="N28" s="58">
        <v>0.65749999999999997</v>
      </c>
      <c r="O28" s="58">
        <v>0.52339999999999998</v>
      </c>
      <c r="P28" s="59">
        <v>0</v>
      </c>
      <c r="Q28" s="58">
        <v>8.6400000000000005E-2</v>
      </c>
      <c r="R28" s="58">
        <v>8.3299999999999999E-2</v>
      </c>
      <c r="S28" s="59">
        <v>1</v>
      </c>
      <c r="T28" s="58">
        <v>5.4100000000000002E-2</v>
      </c>
      <c r="U28" s="58">
        <v>9.6199999999999994E-2</v>
      </c>
      <c r="V28" s="59">
        <v>1</v>
      </c>
      <c r="W28" s="58">
        <v>0.16450000000000001</v>
      </c>
      <c r="X28" s="58">
        <v>0.1593</v>
      </c>
      <c r="Y28" s="59">
        <v>0</v>
      </c>
      <c r="Z28" s="58">
        <v>0.45829999999999999</v>
      </c>
      <c r="AA28" s="58">
        <v>0.48049999999999998</v>
      </c>
      <c r="AB28" s="59">
        <v>0</v>
      </c>
      <c r="AC28" s="58">
        <v>8.48E-2</v>
      </c>
      <c r="AD28" s="58">
        <v>0.2261</v>
      </c>
      <c r="AE28" s="59">
        <v>3</v>
      </c>
      <c r="AF28" s="58">
        <v>0.187</v>
      </c>
      <c r="AG28" s="58">
        <v>0.4</v>
      </c>
      <c r="AH28" s="72"/>
      <c r="AI28" s="58">
        <v>0.65749999999999997</v>
      </c>
      <c r="AJ28" s="58">
        <v>0.28770000000000001</v>
      </c>
      <c r="AK28" s="58">
        <v>0.99212598425196896</v>
      </c>
      <c r="AL28" s="58">
        <v>1</v>
      </c>
      <c r="AM28" s="58">
        <v>0.97142857142857097</v>
      </c>
      <c r="AN28" s="58">
        <v>0.99212598425196896</v>
      </c>
      <c r="AO28" s="58">
        <v>1</v>
      </c>
      <c r="AP28" s="58">
        <v>0.97037037037036999</v>
      </c>
      <c r="AQ28" s="58">
        <v>8.40336134453782E-2</v>
      </c>
      <c r="AR28" s="58">
        <v>8.2644628099173598E-2</v>
      </c>
      <c r="AS28" s="58">
        <v>0.42391304347826098</v>
      </c>
      <c r="AT28" s="58">
        <v>0.11764705882352899</v>
      </c>
      <c r="AU28" s="58">
        <v>7.4999999999999997E-2</v>
      </c>
      <c r="AV28" s="58">
        <v>0.35199999999999998</v>
      </c>
      <c r="AW28" s="58">
        <v>0.57142857142857095</v>
      </c>
      <c r="AX28" s="58">
        <v>0.5</v>
      </c>
      <c r="AY28" s="58">
        <v>0.7</v>
      </c>
      <c r="AZ28" s="58">
        <v>0.71428571428571397</v>
      </c>
      <c r="BA28" s="58">
        <v>0.28571428571428598</v>
      </c>
      <c r="BB28" s="58">
        <v>0.33333333333333298</v>
      </c>
      <c r="BC28" s="58">
        <v>0.27405219513548001</v>
      </c>
      <c r="BD28" s="58">
        <v>0.27359660612242498</v>
      </c>
      <c r="BE28" s="58">
        <v>0.38708836695897503</v>
      </c>
      <c r="BF28" s="58">
        <v>0.154630168899243</v>
      </c>
      <c r="BG28" s="58">
        <v>0.19110644257703099</v>
      </c>
      <c r="BH28" s="58">
        <v>0.20673493975903601</v>
      </c>
      <c r="BI28" s="58" t="s">
        <v>2</v>
      </c>
      <c r="BJ28" s="58" t="s">
        <v>152</v>
      </c>
      <c r="BK28" s="58">
        <v>0.68289999999999995</v>
      </c>
      <c r="BL28" s="58">
        <v>0.1593</v>
      </c>
      <c r="BM28" s="58">
        <v>1.21E-2</v>
      </c>
      <c r="BN28" s="58">
        <v>0</v>
      </c>
      <c r="BO28" s="58">
        <v>0.64</v>
      </c>
      <c r="BP28" s="58">
        <v>0.6</v>
      </c>
      <c r="BQ28" s="58">
        <v>0.44679999999999997</v>
      </c>
      <c r="BR28" s="58">
        <v>0.40429999999999999</v>
      </c>
      <c r="BS28" s="58">
        <v>0</v>
      </c>
      <c r="BT28" s="58">
        <v>0</v>
      </c>
      <c r="BU28" s="58">
        <v>0</v>
      </c>
      <c r="BV28" s="58" t="s">
        <v>23</v>
      </c>
      <c r="BW28" s="58">
        <v>0.9667</v>
      </c>
      <c r="BX28" s="58">
        <v>0.56000000000000005</v>
      </c>
      <c r="BY28" s="58">
        <v>0.93179999999999996</v>
      </c>
      <c r="BZ28" s="58">
        <v>0.48</v>
      </c>
      <c r="CA28" s="58">
        <v>0.98799999999999999</v>
      </c>
      <c r="CB28" s="58">
        <v>0.67</v>
      </c>
      <c r="CC28" s="58">
        <v>0.97140000000000004</v>
      </c>
      <c r="CD28" s="85" t="s">
        <v>2</v>
      </c>
      <c r="CE28" s="85" t="s">
        <v>2</v>
      </c>
      <c r="CF28" s="58">
        <v>1</v>
      </c>
      <c r="CG28" s="58">
        <v>1</v>
      </c>
      <c r="CH28" s="58">
        <v>1</v>
      </c>
      <c r="CI28" s="58">
        <v>0.13639999999999999</v>
      </c>
      <c r="CJ28" s="58">
        <v>0.45450000000000002</v>
      </c>
      <c r="CK28" s="58">
        <v>0.5</v>
      </c>
      <c r="CL28" s="60">
        <v>27</v>
      </c>
      <c r="CM28" s="61">
        <v>42</v>
      </c>
      <c r="CN28" s="4"/>
    </row>
    <row r="29" spans="1:92" x14ac:dyDescent="0.25">
      <c r="A29" s="1" t="s">
        <v>47</v>
      </c>
      <c r="B29" s="2" t="s">
        <v>178</v>
      </c>
      <c r="C29" s="2" t="s">
        <v>247</v>
      </c>
      <c r="D29" s="2" t="s">
        <v>153</v>
      </c>
      <c r="E29" s="3">
        <v>29565</v>
      </c>
      <c r="F29" s="59">
        <v>3</v>
      </c>
      <c r="G29" s="59">
        <v>3</v>
      </c>
      <c r="H29" s="59">
        <v>3</v>
      </c>
      <c r="I29" s="59">
        <v>3</v>
      </c>
      <c r="J29" s="59">
        <v>3</v>
      </c>
      <c r="K29" s="59">
        <v>3</v>
      </c>
      <c r="L29" s="59">
        <v>3</v>
      </c>
      <c r="M29" s="59">
        <v>3</v>
      </c>
      <c r="N29" s="58">
        <v>0.6</v>
      </c>
      <c r="O29" s="58">
        <v>0.8</v>
      </c>
      <c r="P29" s="59">
        <v>2</v>
      </c>
      <c r="Q29" s="58">
        <v>7.1400000000000005E-2</v>
      </c>
      <c r="R29" s="58">
        <v>0.1429</v>
      </c>
      <c r="S29" s="59">
        <v>3</v>
      </c>
      <c r="T29" s="58">
        <v>0.21429999999999999</v>
      </c>
      <c r="U29" s="58">
        <v>0.1429</v>
      </c>
      <c r="V29" s="59">
        <v>3</v>
      </c>
      <c r="W29" s="58">
        <v>0.1205</v>
      </c>
      <c r="X29" s="58">
        <v>0.14000000000000001</v>
      </c>
      <c r="Y29" s="59">
        <v>3</v>
      </c>
      <c r="Z29" s="58">
        <v>0</v>
      </c>
      <c r="AA29" s="58">
        <v>0</v>
      </c>
      <c r="AB29" s="59">
        <v>0</v>
      </c>
      <c r="AC29" s="58">
        <v>6.0199999999999997E-2</v>
      </c>
      <c r="AD29" s="58">
        <v>0.23230000000000001</v>
      </c>
      <c r="AE29" s="59">
        <v>0</v>
      </c>
      <c r="AF29" s="58">
        <v>0.182</v>
      </c>
      <c r="AG29" s="58">
        <v>0</v>
      </c>
      <c r="AH29" s="72"/>
      <c r="AI29" s="58">
        <v>0.6</v>
      </c>
      <c r="AJ29" s="58">
        <v>0.4</v>
      </c>
      <c r="AK29" s="58">
        <v>1</v>
      </c>
      <c r="AL29" s="58">
        <v>0.84615384615384603</v>
      </c>
      <c r="AM29" s="58">
        <v>1</v>
      </c>
      <c r="AN29" s="58">
        <v>1</v>
      </c>
      <c r="AO29" s="58">
        <v>0.84615384615384603</v>
      </c>
      <c r="AP29" s="58">
        <v>1</v>
      </c>
      <c r="AQ29" s="58">
        <v>0.25</v>
      </c>
      <c r="AR29" s="58">
        <v>0</v>
      </c>
      <c r="AS29" s="58">
        <v>0.55555555555555602</v>
      </c>
      <c r="AT29" s="58">
        <v>0.25</v>
      </c>
      <c r="AU29" s="58">
        <v>0</v>
      </c>
      <c r="AV29" s="58">
        <v>0.2</v>
      </c>
      <c r="AW29" s="58">
        <v>0.5</v>
      </c>
      <c r="AX29" s="58">
        <v>0</v>
      </c>
      <c r="AY29" s="58">
        <v>0</v>
      </c>
      <c r="AZ29" s="58">
        <v>1</v>
      </c>
      <c r="BA29" s="58">
        <v>0</v>
      </c>
      <c r="BB29" s="58">
        <v>0</v>
      </c>
      <c r="BC29" s="58">
        <v>0.26327433628318597</v>
      </c>
      <c r="BD29" s="58">
        <v>0.48979591836734698</v>
      </c>
      <c r="BE29" s="58">
        <v>0.34661835748792302</v>
      </c>
      <c r="BF29" s="58">
        <v>0.22787610619469001</v>
      </c>
      <c r="BG29" s="58">
        <v>0.22448979591836701</v>
      </c>
      <c r="BH29" s="58">
        <v>0.25161290322580598</v>
      </c>
      <c r="BI29" s="58" t="s">
        <v>2</v>
      </c>
      <c r="BJ29" s="58" t="s">
        <v>2</v>
      </c>
      <c r="BK29" s="58">
        <v>0.82669999999999999</v>
      </c>
      <c r="BL29" s="58">
        <v>0.14000000000000001</v>
      </c>
      <c r="BM29" s="58">
        <v>0</v>
      </c>
      <c r="BN29" s="58">
        <v>1</v>
      </c>
      <c r="BO29" s="58" t="s">
        <v>23</v>
      </c>
      <c r="BP29" s="58" t="s">
        <v>23</v>
      </c>
      <c r="BQ29" s="58">
        <v>1</v>
      </c>
      <c r="BR29" s="58" t="s">
        <v>23</v>
      </c>
      <c r="BS29" s="58" t="s">
        <v>23</v>
      </c>
      <c r="BT29" s="58" t="s">
        <v>23</v>
      </c>
      <c r="BU29" s="58" t="s">
        <v>23</v>
      </c>
      <c r="BV29" s="58" t="s">
        <v>23</v>
      </c>
      <c r="BW29" s="58">
        <v>0.85709999999999997</v>
      </c>
      <c r="BX29" s="58">
        <v>0.42859999999999998</v>
      </c>
      <c r="BY29" s="58">
        <v>0.66669999999999996</v>
      </c>
      <c r="BZ29" s="58">
        <v>0.42859999999999998</v>
      </c>
      <c r="CA29" s="58">
        <v>0.8</v>
      </c>
      <c r="CB29" s="58">
        <v>0.57140000000000002</v>
      </c>
      <c r="CC29" s="58">
        <v>0.5</v>
      </c>
      <c r="CD29" s="85" t="s">
        <v>2</v>
      </c>
      <c r="CE29" s="85" t="s">
        <v>2</v>
      </c>
      <c r="CF29" s="58">
        <v>1</v>
      </c>
      <c r="CG29" s="58">
        <v>1</v>
      </c>
      <c r="CH29" s="58">
        <v>1</v>
      </c>
      <c r="CI29" s="58">
        <v>0</v>
      </c>
      <c r="CJ29" s="58">
        <v>0.6</v>
      </c>
      <c r="CK29" s="58">
        <v>0.6</v>
      </c>
      <c r="CL29" s="60">
        <v>32</v>
      </c>
      <c r="CM29" s="61">
        <v>42</v>
      </c>
      <c r="CN29" s="4"/>
    </row>
    <row r="30" spans="1:92" x14ac:dyDescent="0.25">
      <c r="A30" s="1" t="s">
        <v>48</v>
      </c>
      <c r="B30" s="2" t="s">
        <v>179</v>
      </c>
      <c r="C30" s="2" t="s">
        <v>248</v>
      </c>
      <c r="D30" s="2" t="s">
        <v>153</v>
      </c>
      <c r="E30" s="3">
        <v>29536</v>
      </c>
      <c r="F30" s="59">
        <v>3</v>
      </c>
      <c r="G30" s="59">
        <v>3</v>
      </c>
      <c r="H30" s="59">
        <v>3</v>
      </c>
      <c r="I30" s="59">
        <v>3</v>
      </c>
      <c r="J30" s="59">
        <v>3</v>
      </c>
      <c r="K30" s="59">
        <v>3</v>
      </c>
      <c r="L30" s="59">
        <v>3</v>
      </c>
      <c r="M30" s="59">
        <v>0</v>
      </c>
      <c r="N30" s="58">
        <v>0.5</v>
      </c>
      <c r="O30" s="58">
        <v>0.42859999999999998</v>
      </c>
      <c r="P30" s="59">
        <v>0</v>
      </c>
      <c r="Q30" s="58">
        <v>0</v>
      </c>
      <c r="R30" s="58">
        <v>0</v>
      </c>
      <c r="S30" s="59">
        <v>0</v>
      </c>
      <c r="T30" s="58">
        <v>4.1700000000000001E-2</v>
      </c>
      <c r="U30" s="58">
        <v>0</v>
      </c>
      <c r="V30" s="59">
        <v>3</v>
      </c>
      <c r="W30" s="58">
        <v>8.0600000000000005E-2</v>
      </c>
      <c r="X30" s="58">
        <v>9.2299999999999993E-2</v>
      </c>
      <c r="Y30" s="59">
        <v>3</v>
      </c>
      <c r="Z30" s="58">
        <v>0.3125</v>
      </c>
      <c r="AA30" s="58">
        <v>0.1111</v>
      </c>
      <c r="AB30" s="59">
        <v>3</v>
      </c>
      <c r="AC30" s="58">
        <v>2.9000000000000001E-2</v>
      </c>
      <c r="AD30" s="58">
        <v>6.1199999999999997E-2</v>
      </c>
      <c r="AE30" s="59">
        <v>1</v>
      </c>
      <c r="AF30" s="58">
        <v>5.2999999999999999E-2</v>
      </c>
      <c r="AG30" s="58">
        <v>7.6999999999999999E-2</v>
      </c>
      <c r="AH30" s="72"/>
      <c r="AI30" s="58">
        <v>0.5</v>
      </c>
      <c r="AJ30" s="58">
        <v>0.5</v>
      </c>
      <c r="AK30" s="58">
        <v>1</v>
      </c>
      <c r="AL30" s="58">
        <v>1</v>
      </c>
      <c r="AM30" s="58">
        <v>0.90909090909090895</v>
      </c>
      <c r="AN30" s="58">
        <v>1</v>
      </c>
      <c r="AO30" s="58">
        <v>1</v>
      </c>
      <c r="AP30" s="58">
        <v>0.85294117647058798</v>
      </c>
      <c r="AQ30" s="58">
        <v>0</v>
      </c>
      <c r="AR30" s="58">
        <v>0</v>
      </c>
      <c r="AS30" s="58">
        <v>0.34615384615384598</v>
      </c>
      <c r="AT30" s="58">
        <v>0</v>
      </c>
      <c r="AU30" s="58">
        <v>0</v>
      </c>
      <c r="AV30" s="58">
        <v>0.28000000000000003</v>
      </c>
      <c r="AW30" s="58">
        <v>0.5</v>
      </c>
      <c r="AX30" s="58">
        <v>1</v>
      </c>
      <c r="AY30" s="58">
        <v>0.75</v>
      </c>
      <c r="AZ30" s="58">
        <v>0.75</v>
      </c>
      <c r="BA30" s="58">
        <v>1</v>
      </c>
      <c r="BB30" s="58">
        <v>0.25</v>
      </c>
      <c r="BC30" s="58">
        <v>0.26938775510204099</v>
      </c>
      <c r="BD30" s="58">
        <v>0.23529411764705899</v>
      </c>
      <c r="BE30" s="58">
        <v>0.40862322390984801</v>
      </c>
      <c r="BF30" s="58">
        <v>0.2</v>
      </c>
      <c r="BG30" s="58">
        <v>0.148606811145511</v>
      </c>
      <c r="BH30" s="58">
        <v>0.22354609929078001</v>
      </c>
      <c r="BI30" s="58" t="s">
        <v>2</v>
      </c>
      <c r="BJ30" s="58" t="s">
        <v>2</v>
      </c>
      <c r="BK30" s="58">
        <v>0.80620000000000003</v>
      </c>
      <c r="BL30" s="58">
        <v>9.2299999999999993E-2</v>
      </c>
      <c r="BM30" s="58">
        <v>1.8499999999999999E-2</v>
      </c>
      <c r="BN30" s="58">
        <v>0.66669999999999996</v>
      </c>
      <c r="BO30" s="58" t="s">
        <v>23</v>
      </c>
      <c r="BP30" s="58">
        <v>1</v>
      </c>
      <c r="BQ30" s="58">
        <v>0.78569999999999995</v>
      </c>
      <c r="BR30" s="58">
        <v>0.1429</v>
      </c>
      <c r="BS30" s="58">
        <v>0</v>
      </c>
      <c r="BT30" s="58" t="s">
        <v>23</v>
      </c>
      <c r="BU30" s="58">
        <v>0</v>
      </c>
      <c r="BV30" s="58" t="s">
        <v>23</v>
      </c>
      <c r="BW30" s="58">
        <v>1</v>
      </c>
      <c r="BX30" s="58">
        <v>0.32140000000000002</v>
      </c>
      <c r="BY30" s="58">
        <v>1</v>
      </c>
      <c r="BZ30" s="58">
        <v>0.32140000000000002</v>
      </c>
      <c r="CA30" s="58">
        <v>1</v>
      </c>
      <c r="CB30" s="58">
        <v>0.42859999999999998</v>
      </c>
      <c r="CC30" s="58">
        <v>1</v>
      </c>
      <c r="CD30" s="85" t="s">
        <v>2</v>
      </c>
      <c r="CE30" s="85" t="s">
        <v>2</v>
      </c>
      <c r="CF30" s="58">
        <v>1</v>
      </c>
      <c r="CG30" s="58">
        <v>1</v>
      </c>
      <c r="CH30" s="58">
        <v>1</v>
      </c>
      <c r="CI30" s="58">
        <v>0.4</v>
      </c>
      <c r="CJ30" s="58">
        <v>0.8</v>
      </c>
      <c r="CK30" s="58">
        <v>0.8</v>
      </c>
      <c r="CL30" s="60">
        <v>31</v>
      </c>
      <c r="CM30" s="61">
        <v>42</v>
      </c>
      <c r="CN30" s="4"/>
    </row>
    <row r="31" spans="1:92" x14ac:dyDescent="0.25">
      <c r="A31" s="1" t="s">
        <v>49</v>
      </c>
      <c r="B31" s="2" t="s">
        <v>180</v>
      </c>
      <c r="C31" s="2" t="s">
        <v>249</v>
      </c>
      <c r="D31" s="2" t="s">
        <v>153</v>
      </c>
      <c r="E31" s="3">
        <v>29483</v>
      </c>
      <c r="F31" s="59">
        <v>3</v>
      </c>
      <c r="G31" s="59">
        <v>3</v>
      </c>
      <c r="H31" s="59">
        <v>3</v>
      </c>
      <c r="I31" s="59">
        <v>3</v>
      </c>
      <c r="J31" s="59">
        <v>2</v>
      </c>
      <c r="K31" s="59">
        <v>2</v>
      </c>
      <c r="L31" s="59">
        <v>3</v>
      </c>
      <c r="M31" s="59">
        <v>2</v>
      </c>
      <c r="N31" s="58">
        <v>0.4819</v>
      </c>
      <c r="O31" s="58">
        <v>0.53680000000000005</v>
      </c>
      <c r="P31" s="59">
        <v>3</v>
      </c>
      <c r="Q31" s="58">
        <v>0.14860000000000001</v>
      </c>
      <c r="R31" s="58">
        <v>0.14949999999999999</v>
      </c>
      <c r="S31" s="59">
        <v>2</v>
      </c>
      <c r="T31" s="58">
        <v>0.13500000000000001</v>
      </c>
      <c r="U31" s="58">
        <v>0.13</v>
      </c>
      <c r="V31" s="59">
        <v>3</v>
      </c>
      <c r="W31" s="58">
        <v>0.13270000000000001</v>
      </c>
      <c r="X31" s="58">
        <v>0.13589999999999999</v>
      </c>
      <c r="Y31" s="59">
        <v>0</v>
      </c>
      <c r="Z31" s="58">
        <v>0.4153</v>
      </c>
      <c r="AA31" s="58">
        <v>0.48199999999999998</v>
      </c>
      <c r="AB31" s="59">
        <v>0</v>
      </c>
      <c r="AC31" s="58">
        <v>7.5999999999999998E-2</v>
      </c>
      <c r="AD31" s="58">
        <v>0.16900000000000001</v>
      </c>
      <c r="AE31" s="59">
        <v>3</v>
      </c>
      <c r="AF31" s="58">
        <v>0.25900000000000001</v>
      </c>
      <c r="AG31" s="58">
        <v>0.45500000000000002</v>
      </c>
      <c r="AH31" s="72"/>
      <c r="AI31" s="58">
        <v>0.4819</v>
      </c>
      <c r="AJ31" s="58">
        <v>0.247</v>
      </c>
      <c r="AK31" s="58">
        <v>0.99616858237547901</v>
      </c>
      <c r="AL31" s="58">
        <v>0.96652719665272002</v>
      </c>
      <c r="AM31" s="58">
        <v>0.90833333333333299</v>
      </c>
      <c r="AN31" s="58">
        <v>0.99616858237547901</v>
      </c>
      <c r="AO31" s="58">
        <v>0.96234309623431002</v>
      </c>
      <c r="AP31" s="58">
        <v>0.90047393364928896</v>
      </c>
      <c r="AQ31" s="58">
        <v>0.21721311475409799</v>
      </c>
      <c r="AR31" s="58">
        <v>7.10900473933649E-2</v>
      </c>
      <c r="AS31" s="58">
        <v>0.44334975369458102</v>
      </c>
      <c r="AT31" s="58">
        <v>0.204918032786885</v>
      </c>
      <c r="AU31" s="58">
        <v>4.2857142857142899E-2</v>
      </c>
      <c r="AV31" s="58">
        <v>0.30601092896174897</v>
      </c>
      <c r="AW31" s="58">
        <v>0.375</v>
      </c>
      <c r="AX31" s="58">
        <v>0.3</v>
      </c>
      <c r="AY31" s="58">
        <v>0.133333333333333</v>
      </c>
      <c r="AZ31" s="58">
        <v>0.375</v>
      </c>
      <c r="BA31" s="58">
        <v>0.45</v>
      </c>
      <c r="BB31" s="58">
        <v>0</v>
      </c>
      <c r="BC31" s="58">
        <v>0.37115253621543098</v>
      </c>
      <c r="BD31" s="58">
        <v>0.42270173866203098</v>
      </c>
      <c r="BE31" s="58">
        <v>0.45026726758201402</v>
      </c>
      <c r="BF31" s="58">
        <v>0.266289054699272</v>
      </c>
      <c r="BG31" s="58">
        <v>0.30659235451001798</v>
      </c>
      <c r="BH31" s="58">
        <v>0.40953970745219698</v>
      </c>
      <c r="BI31" s="58" t="s">
        <v>2</v>
      </c>
      <c r="BJ31" s="58" t="s">
        <v>152</v>
      </c>
      <c r="BK31" s="58">
        <v>0.57689999999999997</v>
      </c>
      <c r="BL31" s="58">
        <v>0.13589999999999999</v>
      </c>
      <c r="BM31" s="58">
        <v>1.9199999999999998E-2</v>
      </c>
      <c r="BN31" s="58">
        <v>4.3999999999999997E-2</v>
      </c>
      <c r="BO31" s="58">
        <v>0.56040000000000001</v>
      </c>
      <c r="BP31" s="58">
        <v>0.46429999999999999</v>
      </c>
      <c r="BQ31" s="58">
        <v>0.33979999999999999</v>
      </c>
      <c r="BR31" s="58">
        <v>0.46600000000000003</v>
      </c>
      <c r="BS31" s="58">
        <v>0</v>
      </c>
      <c r="BT31" s="58">
        <v>2.1999999999999999E-2</v>
      </c>
      <c r="BU31" s="58">
        <v>0</v>
      </c>
      <c r="BV31" s="58">
        <v>3.5700000000000003E-2</v>
      </c>
      <c r="BW31" s="58">
        <v>0.6038</v>
      </c>
      <c r="BX31" s="58">
        <v>0.40479999999999999</v>
      </c>
      <c r="BY31" s="58">
        <v>0.62170000000000003</v>
      </c>
      <c r="BZ31" s="58">
        <v>0.40139999999999998</v>
      </c>
      <c r="CA31" s="58">
        <v>0.59830000000000005</v>
      </c>
      <c r="CB31" s="58">
        <v>0.5272</v>
      </c>
      <c r="CC31" s="58">
        <v>1</v>
      </c>
      <c r="CD31" s="85" t="s">
        <v>2</v>
      </c>
      <c r="CE31" s="85" t="s">
        <v>2</v>
      </c>
      <c r="CF31" s="58">
        <v>0.99739999999999995</v>
      </c>
      <c r="CG31" s="58">
        <v>1</v>
      </c>
      <c r="CH31" s="58">
        <v>1</v>
      </c>
      <c r="CI31" s="58">
        <v>0.23810000000000001</v>
      </c>
      <c r="CJ31" s="58">
        <v>0.73809999999999998</v>
      </c>
      <c r="CK31" s="58">
        <v>0.76190000000000002</v>
      </c>
      <c r="CL31" s="60">
        <v>32</v>
      </c>
      <c r="CM31" s="61">
        <v>42</v>
      </c>
      <c r="CN31" s="4"/>
    </row>
    <row r="32" spans="1:92" x14ac:dyDescent="0.25">
      <c r="A32" s="1" t="s">
        <v>50</v>
      </c>
      <c r="B32" s="2" t="s">
        <v>181</v>
      </c>
      <c r="C32" s="2" t="s">
        <v>250</v>
      </c>
      <c r="D32" s="2" t="s">
        <v>153</v>
      </c>
      <c r="E32" s="3">
        <v>29437</v>
      </c>
      <c r="F32" s="59">
        <v>3</v>
      </c>
      <c r="G32" s="59">
        <v>3</v>
      </c>
      <c r="H32" s="59">
        <v>3</v>
      </c>
      <c r="I32" s="59">
        <v>3</v>
      </c>
      <c r="J32" s="59">
        <v>2</v>
      </c>
      <c r="K32" s="59">
        <v>3</v>
      </c>
      <c r="L32" s="59">
        <v>3</v>
      </c>
      <c r="M32" s="59">
        <v>3</v>
      </c>
      <c r="N32" s="58">
        <v>0.7</v>
      </c>
      <c r="O32" s="58">
        <v>0.76190000000000002</v>
      </c>
      <c r="P32" s="59">
        <v>0</v>
      </c>
      <c r="Q32" s="58">
        <v>5.9700000000000003E-2</v>
      </c>
      <c r="R32" s="58">
        <v>4.7600000000000003E-2</v>
      </c>
      <c r="S32" s="59">
        <v>0</v>
      </c>
      <c r="T32" s="58">
        <v>4.5499999999999999E-2</v>
      </c>
      <c r="U32" s="58">
        <v>0</v>
      </c>
      <c r="V32" s="59">
        <v>0</v>
      </c>
      <c r="W32" s="58">
        <v>0.15340000000000001</v>
      </c>
      <c r="X32" s="58">
        <v>0.16930000000000001</v>
      </c>
      <c r="Y32" s="59">
        <v>3</v>
      </c>
      <c r="Z32" s="58">
        <v>0.1875</v>
      </c>
      <c r="AA32" s="58">
        <v>0.2727</v>
      </c>
      <c r="AB32" s="59">
        <v>2</v>
      </c>
      <c r="AC32" s="58">
        <v>2.2700000000000001E-2</v>
      </c>
      <c r="AD32" s="58">
        <v>0.108</v>
      </c>
      <c r="AE32" s="59">
        <v>3</v>
      </c>
      <c r="AF32" s="58">
        <v>0.26900000000000002</v>
      </c>
      <c r="AG32" s="58">
        <v>0.38200000000000001</v>
      </c>
      <c r="AH32" s="72"/>
      <c r="AI32" s="58">
        <v>0.7</v>
      </c>
      <c r="AJ32" s="58">
        <v>0.3</v>
      </c>
      <c r="AK32" s="58">
        <v>1</v>
      </c>
      <c r="AL32" s="58">
        <v>0.96428571428571397</v>
      </c>
      <c r="AM32" s="58">
        <v>0.931034482758621</v>
      </c>
      <c r="AN32" s="58">
        <v>1</v>
      </c>
      <c r="AO32" s="58">
        <v>0.92857142857142905</v>
      </c>
      <c r="AP32" s="58">
        <v>0.89473684210526305</v>
      </c>
      <c r="AQ32" s="58">
        <v>0.05</v>
      </c>
      <c r="AR32" s="58">
        <v>4.5454545454545497E-2</v>
      </c>
      <c r="AS32" s="58">
        <v>0.5</v>
      </c>
      <c r="AT32" s="58">
        <v>0</v>
      </c>
      <c r="AU32" s="58">
        <v>0</v>
      </c>
      <c r="AV32" s="58">
        <v>3.2258064516128997E-2</v>
      </c>
      <c r="AW32" s="58">
        <v>0.5</v>
      </c>
      <c r="AX32" s="58">
        <v>0.8</v>
      </c>
      <c r="AY32" s="58">
        <v>0.66666666666666696</v>
      </c>
      <c r="AZ32" s="58">
        <v>0</v>
      </c>
      <c r="BA32" s="58">
        <v>0.8</v>
      </c>
      <c r="BB32" s="58">
        <v>0.66666666666666696</v>
      </c>
      <c r="BC32" s="58">
        <v>0.32410071942446</v>
      </c>
      <c r="BD32" s="58">
        <v>0.26318742985409599</v>
      </c>
      <c r="BE32" s="58">
        <v>0.28620689655172399</v>
      </c>
      <c r="BF32" s="58">
        <v>0.31654676258992798</v>
      </c>
      <c r="BG32" s="58">
        <v>0.115384615384615</v>
      </c>
      <c r="BH32" s="58">
        <v>0.247245041073933</v>
      </c>
      <c r="BI32" s="58" t="s">
        <v>2</v>
      </c>
      <c r="BJ32" s="58" t="s">
        <v>2</v>
      </c>
      <c r="BK32" s="58">
        <v>0.51759999999999995</v>
      </c>
      <c r="BL32" s="58">
        <v>0.16930000000000001</v>
      </c>
      <c r="BM32" s="58">
        <v>9.5999999999999992E-3</v>
      </c>
      <c r="BN32" s="58">
        <v>0.66669999999999996</v>
      </c>
      <c r="BO32" s="58">
        <v>0.33329999999999999</v>
      </c>
      <c r="BP32" s="58">
        <v>1</v>
      </c>
      <c r="BQ32" s="58">
        <v>0.42859999999999998</v>
      </c>
      <c r="BR32" s="58">
        <v>0.28570000000000001</v>
      </c>
      <c r="BS32" s="58" t="s">
        <v>23</v>
      </c>
      <c r="BT32" s="58" t="s">
        <v>23</v>
      </c>
      <c r="BU32" s="58" t="s">
        <v>23</v>
      </c>
      <c r="BV32" s="58" t="s">
        <v>23</v>
      </c>
      <c r="BW32" s="58">
        <v>0.91300000000000003</v>
      </c>
      <c r="BX32" s="58">
        <v>0.69569999999999999</v>
      </c>
      <c r="BY32" s="58">
        <v>0.90910000000000002</v>
      </c>
      <c r="BZ32" s="58">
        <v>0.4783</v>
      </c>
      <c r="CA32" s="58">
        <v>0.90910000000000002</v>
      </c>
      <c r="CB32" s="58">
        <v>0.73909999999999998</v>
      </c>
      <c r="CC32" s="58">
        <v>1</v>
      </c>
      <c r="CD32" s="85" t="s">
        <v>2</v>
      </c>
      <c r="CE32" s="85" t="s">
        <v>2</v>
      </c>
      <c r="CF32" s="58">
        <v>1</v>
      </c>
      <c r="CG32" s="58">
        <v>0.66669999999999996</v>
      </c>
      <c r="CH32" s="58">
        <v>1</v>
      </c>
      <c r="CI32" s="58">
        <v>0.71430000000000005</v>
      </c>
      <c r="CJ32" s="58">
        <v>0.85709999999999997</v>
      </c>
      <c r="CK32" s="58">
        <v>0.85709999999999997</v>
      </c>
      <c r="CL32" s="60">
        <v>31</v>
      </c>
      <c r="CM32" s="61">
        <v>42</v>
      </c>
      <c r="CN32" s="4"/>
    </row>
    <row r="33" spans="1:92" x14ac:dyDescent="0.25">
      <c r="A33" s="1" t="s">
        <v>51</v>
      </c>
      <c r="B33" s="2" t="s">
        <v>182</v>
      </c>
      <c r="C33" s="2" t="s">
        <v>251</v>
      </c>
      <c r="D33" s="2" t="s">
        <v>153</v>
      </c>
      <c r="E33" s="3">
        <v>29824</v>
      </c>
      <c r="F33" s="59">
        <v>3</v>
      </c>
      <c r="G33" s="59">
        <v>3</v>
      </c>
      <c r="H33" s="59">
        <v>3</v>
      </c>
      <c r="I33" s="59">
        <v>3</v>
      </c>
      <c r="J33" s="59">
        <v>2</v>
      </c>
      <c r="K33" s="59">
        <v>3</v>
      </c>
      <c r="L33" s="59">
        <v>3</v>
      </c>
      <c r="M33" s="59">
        <v>0</v>
      </c>
      <c r="N33" s="58">
        <v>0.54549999999999998</v>
      </c>
      <c r="O33" s="58">
        <v>0.41670000000000001</v>
      </c>
      <c r="P33" s="59">
        <v>1</v>
      </c>
      <c r="Q33" s="58">
        <v>8.8200000000000001E-2</v>
      </c>
      <c r="R33" s="58">
        <v>0.1053</v>
      </c>
      <c r="S33" s="59">
        <v>0</v>
      </c>
      <c r="T33" s="58">
        <v>5.8799999999999998E-2</v>
      </c>
      <c r="U33" s="58">
        <v>5.2600000000000001E-2</v>
      </c>
      <c r="V33" s="59">
        <v>0</v>
      </c>
      <c r="W33" s="58">
        <v>0.15629999999999999</v>
      </c>
      <c r="X33" s="58">
        <v>0.16389999999999999</v>
      </c>
      <c r="Y33" s="59">
        <v>0</v>
      </c>
      <c r="Z33" s="58">
        <v>0.4375</v>
      </c>
      <c r="AA33" s="58">
        <v>0.68420000000000003</v>
      </c>
      <c r="AB33" s="59">
        <v>0</v>
      </c>
      <c r="AC33" s="58">
        <v>6.1899999999999997E-2</v>
      </c>
      <c r="AD33" s="58">
        <v>0.61109999999999998</v>
      </c>
      <c r="AE33" s="59">
        <v>1</v>
      </c>
      <c r="AF33" s="58">
        <v>0.27600000000000002</v>
      </c>
      <c r="AG33" s="58">
        <v>0.29199999999999998</v>
      </c>
      <c r="AH33" s="72"/>
      <c r="AI33" s="58">
        <v>0.54549999999999998</v>
      </c>
      <c r="AJ33" s="58">
        <v>0.31819999999999998</v>
      </c>
      <c r="AK33" s="58">
        <v>1</v>
      </c>
      <c r="AL33" s="58">
        <v>1</v>
      </c>
      <c r="AM33" s="58">
        <v>1</v>
      </c>
      <c r="AN33" s="58">
        <v>1</v>
      </c>
      <c r="AO33" s="58">
        <v>1</v>
      </c>
      <c r="AP33" s="58">
        <v>1</v>
      </c>
      <c r="AQ33" s="58">
        <v>0.133333333333333</v>
      </c>
      <c r="AR33" s="58">
        <v>7.4074074074074098E-2</v>
      </c>
      <c r="AS33" s="58">
        <v>0.2</v>
      </c>
      <c r="AT33" s="58">
        <v>0.1</v>
      </c>
      <c r="AU33" s="58">
        <v>0</v>
      </c>
      <c r="AV33" s="58">
        <v>5.2631578947368397E-2</v>
      </c>
      <c r="AW33" s="58" t="s">
        <v>23</v>
      </c>
      <c r="AX33" s="58">
        <v>0</v>
      </c>
      <c r="AY33" s="58">
        <v>0</v>
      </c>
      <c r="AZ33" s="58" t="s">
        <v>23</v>
      </c>
      <c r="BA33" s="58">
        <v>0</v>
      </c>
      <c r="BB33" s="58">
        <v>0</v>
      </c>
      <c r="BC33" s="58">
        <v>0.23875968992248101</v>
      </c>
      <c r="BD33" s="58">
        <v>0.358996792067658</v>
      </c>
      <c r="BE33" s="58">
        <v>0.57058823529411795</v>
      </c>
      <c r="BF33" s="58">
        <v>0.17906976744186001</v>
      </c>
      <c r="BG33" s="58">
        <v>0.22440944881889799</v>
      </c>
      <c r="BH33" s="58">
        <v>0.214035087719298</v>
      </c>
      <c r="BI33" s="58" t="s">
        <v>152</v>
      </c>
      <c r="BJ33" s="58" t="s">
        <v>2</v>
      </c>
      <c r="BK33" s="58">
        <v>0.58360000000000001</v>
      </c>
      <c r="BL33" s="58">
        <v>0.16389999999999999</v>
      </c>
      <c r="BM33" s="58">
        <v>6.6E-3</v>
      </c>
      <c r="BN33" s="58" t="s">
        <v>23</v>
      </c>
      <c r="BO33" s="58">
        <v>0.77780000000000005</v>
      </c>
      <c r="BP33" s="58">
        <v>0.5</v>
      </c>
      <c r="BQ33" s="58">
        <v>0.25</v>
      </c>
      <c r="BR33" s="58">
        <v>0.625</v>
      </c>
      <c r="BS33" s="58" t="s">
        <v>23</v>
      </c>
      <c r="BT33" s="58" t="s">
        <v>23</v>
      </c>
      <c r="BU33" s="58" t="s">
        <v>23</v>
      </c>
      <c r="BV33" s="58" t="s">
        <v>23</v>
      </c>
      <c r="BW33" s="58">
        <v>0.95</v>
      </c>
      <c r="BX33" s="58">
        <v>0.4783</v>
      </c>
      <c r="BY33" s="58">
        <v>0.83330000000000004</v>
      </c>
      <c r="BZ33" s="58">
        <v>0.56520000000000004</v>
      </c>
      <c r="CA33" s="58">
        <v>0.83330000000000004</v>
      </c>
      <c r="CB33" s="58">
        <v>0.6522</v>
      </c>
      <c r="CC33" s="58">
        <v>1</v>
      </c>
      <c r="CD33" s="85" t="s">
        <v>2</v>
      </c>
      <c r="CE33" s="85" t="s">
        <v>2</v>
      </c>
      <c r="CF33" s="58">
        <v>0.98040000000000005</v>
      </c>
      <c r="CG33" s="58">
        <v>1</v>
      </c>
      <c r="CH33" s="58">
        <v>1</v>
      </c>
      <c r="CI33" s="58">
        <v>0.25</v>
      </c>
      <c r="CJ33" s="58">
        <v>0.875</v>
      </c>
      <c r="CK33" s="58">
        <v>0.875</v>
      </c>
      <c r="CL33" s="60">
        <v>22</v>
      </c>
      <c r="CM33" s="61">
        <v>42</v>
      </c>
      <c r="CN33" s="4"/>
    </row>
    <row r="34" spans="1:92" x14ac:dyDescent="0.25">
      <c r="A34" s="1" t="s">
        <v>52</v>
      </c>
      <c r="B34" s="2" t="s">
        <v>183</v>
      </c>
      <c r="C34" s="2" t="s">
        <v>252</v>
      </c>
      <c r="D34" s="2" t="s">
        <v>153</v>
      </c>
      <c r="E34" s="3">
        <v>29180</v>
      </c>
      <c r="F34" s="59">
        <v>3</v>
      </c>
      <c r="G34" s="59">
        <v>3</v>
      </c>
      <c r="H34" s="59">
        <v>3</v>
      </c>
      <c r="I34" s="59">
        <v>3</v>
      </c>
      <c r="J34" s="59">
        <v>3</v>
      </c>
      <c r="K34" s="59">
        <v>3</v>
      </c>
      <c r="L34" s="59">
        <v>3</v>
      </c>
      <c r="M34" s="59">
        <v>2</v>
      </c>
      <c r="N34" s="58">
        <v>0.52939999999999998</v>
      </c>
      <c r="O34" s="58">
        <v>0.52939999999999998</v>
      </c>
      <c r="P34" s="59">
        <v>3</v>
      </c>
      <c r="Q34" s="58">
        <v>8.8900000000000007E-2</v>
      </c>
      <c r="R34" s="58">
        <v>0.15379999999999999</v>
      </c>
      <c r="S34" s="59">
        <v>1</v>
      </c>
      <c r="T34" s="58">
        <v>2.2700000000000001E-2</v>
      </c>
      <c r="U34" s="58">
        <v>7.6899999999999996E-2</v>
      </c>
      <c r="V34" s="59">
        <v>1</v>
      </c>
      <c r="W34" s="58">
        <v>0.25340000000000001</v>
      </c>
      <c r="X34" s="58">
        <v>0.22889999999999999</v>
      </c>
      <c r="Y34" s="59">
        <v>0</v>
      </c>
      <c r="Z34" s="58">
        <v>0.30769999999999997</v>
      </c>
      <c r="AA34" s="58">
        <v>0.38890000000000002</v>
      </c>
      <c r="AB34" s="59">
        <v>0</v>
      </c>
      <c r="AC34" s="58">
        <v>5.1799999999999999E-2</v>
      </c>
      <c r="AD34" s="58">
        <v>0.2208</v>
      </c>
      <c r="AE34" s="59">
        <v>1</v>
      </c>
      <c r="AF34" s="58">
        <v>0.15</v>
      </c>
      <c r="AG34" s="58">
        <v>0.28000000000000003</v>
      </c>
      <c r="AH34" s="72"/>
      <c r="AI34" s="58">
        <v>0.52939999999999998</v>
      </c>
      <c r="AJ34" s="58">
        <v>0.47060000000000002</v>
      </c>
      <c r="AK34" s="58">
        <v>1</v>
      </c>
      <c r="AL34" s="58">
        <v>0.90476190476190499</v>
      </c>
      <c r="AM34" s="58">
        <v>1</v>
      </c>
      <c r="AN34" s="58">
        <v>1</v>
      </c>
      <c r="AO34" s="58">
        <v>0.90476190476190499</v>
      </c>
      <c r="AP34" s="58">
        <v>0.94736842105263197</v>
      </c>
      <c r="AQ34" s="58">
        <v>0.2</v>
      </c>
      <c r="AR34" s="58">
        <v>5.8823529411764698E-2</v>
      </c>
      <c r="AS34" s="58">
        <v>0.266666666666667</v>
      </c>
      <c r="AT34" s="58">
        <v>0.114285714285714</v>
      </c>
      <c r="AU34" s="58">
        <v>0</v>
      </c>
      <c r="AV34" s="58">
        <v>0.41176470588235298</v>
      </c>
      <c r="AW34" s="58">
        <v>0</v>
      </c>
      <c r="AX34" s="58">
        <v>0.5</v>
      </c>
      <c r="AY34" s="58">
        <v>0</v>
      </c>
      <c r="AZ34" s="58">
        <v>0</v>
      </c>
      <c r="BA34" s="58">
        <v>1</v>
      </c>
      <c r="BB34" s="58">
        <v>1</v>
      </c>
      <c r="BC34" s="58">
        <v>0.207185628742515</v>
      </c>
      <c r="BD34" s="58">
        <v>0.21390374331550799</v>
      </c>
      <c r="BE34" s="58">
        <v>0.47664884135472402</v>
      </c>
      <c r="BF34" s="58">
        <v>0.16116338751069301</v>
      </c>
      <c r="BG34" s="58">
        <v>0.123376623376623</v>
      </c>
      <c r="BH34" s="58">
        <v>0.11764705882352899</v>
      </c>
      <c r="BI34" s="58" t="s">
        <v>2</v>
      </c>
      <c r="BJ34" s="58" t="s">
        <v>2</v>
      </c>
      <c r="BK34" s="58">
        <v>0.67300000000000004</v>
      </c>
      <c r="BL34" s="58">
        <v>0.22889999999999999</v>
      </c>
      <c r="BM34" s="58">
        <v>8.2000000000000007E-3</v>
      </c>
      <c r="BN34" s="58" t="s">
        <v>23</v>
      </c>
      <c r="BO34" s="58">
        <v>0.6</v>
      </c>
      <c r="BP34" s="58" t="s">
        <v>23</v>
      </c>
      <c r="BQ34" s="58">
        <v>0.18179999999999999</v>
      </c>
      <c r="BR34" s="58">
        <v>0.2727</v>
      </c>
      <c r="BS34" s="58">
        <v>0</v>
      </c>
      <c r="BT34" s="58" t="s">
        <v>23</v>
      </c>
      <c r="BU34" s="58">
        <v>0</v>
      </c>
      <c r="BV34" s="58" t="s">
        <v>23</v>
      </c>
      <c r="BW34" s="58">
        <v>1</v>
      </c>
      <c r="BX34" s="58">
        <v>0.84619999999999995</v>
      </c>
      <c r="BY34" s="58">
        <v>0.94589999999999996</v>
      </c>
      <c r="BZ34" s="58">
        <v>0.74360000000000004</v>
      </c>
      <c r="CA34" s="58">
        <v>1</v>
      </c>
      <c r="CB34" s="58">
        <v>0.94869999999999999</v>
      </c>
      <c r="CC34" s="58">
        <v>1</v>
      </c>
      <c r="CD34" s="85" t="s">
        <v>2</v>
      </c>
      <c r="CE34" s="85" t="s">
        <v>2</v>
      </c>
      <c r="CF34" s="58">
        <v>1</v>
      </c>
      <c r="CG34" s="58">
        <v>1</v>
      </c>
      <c r="CH34" s="58">
        <v>1</v>
      </c>
      <c r="CI34" s="58">
        <v>0.5</v>
      </c>
      <c r="CJ34" s="58">
        <v>0.5</v>
      </c>
      <c r="CK34" s="58">
        <v>1</v>
      </c>
      <c r="CL34" s="60">
        <v>29</v>
      </c>
      <c r="CM34" s="61">
        <v>42</v>
      </c>
      <c r="CN34" s="4"/>
    </row>
    <row r="35" spans="1:92" x14ac:dyDescent="0.25">
      <c r="A35" s="1" t="s">
        <v>53</v>
      </c>
      <c r="B35" s="2" t="s">
        <v>184</v>
      </c>
      <c r="C35" s="2" t="s">
        <v>253</v>
      </c>
      <c r="D35" s="2" t="s">
        <v>153</v>
      </c>
      <c r="E35" s="3">
        <v>29501</v>
      </c>
      <c r="F35" s="59">
        <v>3</v>
      </c>
      <c r="G35" s="59">
        <v>3</v>
      </c>
      <c r="H35" s="59">
        <v>3</v>
      </c>
      <c r="I35" s="59">
        <v>2</v>
      </c>
      <c r="J35" s="59">
        <v>2</v>
      </c>
      <c r="K35" s="59">
        <v>3</v>
      </c>
      <c r="L35" s="59">
        <v>3</v>
      </c>
      <c r="M35" s="59">
        <v>2</v>
      </c>
      <c r="N35" s="58">
        <v>0.34150000000000003</v>
      </c>
      <c r="O35" s="58">
        <v>0.51919999999999999</v>
      </c>
      <c r="P35" s="59">
        <v>1</v>
      </c>
      <c r="Q35" s="58">
        <v>7.4499999999999997E-2</v>
      </c>
      <c r="R35" s="58">
        <v>0.1045</v>
      </c>
      <c r="S35" s="59">
        <v>0</v>
      </c>
      <c r="T35" s="58">
        <v>4.2299999999999997E-2</v>
      </c>
      <c r="U35" s="58">
        <v>2.7699999999999999E-2</v>
      </c>
      <c r="V35" s="59">
        <v>1</v>
      </c>
      <c r="W35" s="58">
        <v>0.2472</v>
      </c>
      <c r="X35" s="58">
        <v>0.24640000000000001</v>
      </c>
      <c r="Y35" s="59">
        <v>0</v>
      </c>
      <c r="Z35" s="58">
        <v>0.43969999999999998</v>
      </c>
      <c r="AA35" s="58">
        <v>0.52869999999999995</v>
      </c>
      <c r="AB35" s="59">
        <v>0</v>
      </c>
      <c r="AC35" s="58">
        <v>8.3400000000000002E-2</v>
      </c>
      <c r="AD35" s="58">
        <v>0.18729999999999999</v>
      </c>
      <c r="AE35" s="59">
        <v>3</v>
      </c>
      <c r="AF35" s="58">
        <v>0.17899999999999999</v>
      </c>
      <c r="AG35" s="58">
        <v>0.33600000000000002</v>
      </c>
      <c r="AH35" s="72"/>
      <c r="AI35" s="58">
        <v>0.34150000000000003</v>
      </c>
      <c r="AJ35" s="58">
        <v>0.40649999999999997</v>
      </c>
      <c r="AK35" s="58">
        <v>0.972413793103448</v>
      </c>
      <c r="AL35" s="58">
        <v>0.94857142857142895</v>
      </c>
      <c r="AM35" s="58">
        <v>0.94193548387096804</v>
      </c>
      <c r="AN35" s="58">
        <v>0.972413793103448</v>
      </c>
      <c r="AO35" s="58">
        <v>0.96</v>
      </c>
      <c r="AP35" s="58">
        <v>0.94444444444444398</v>
      </c>
      <c r="AQ35" s="58">
        <v>0.15267175572519101</v>
      </c>
      <c r="AR35" s="58">
        <v>6.4102564102564097E-2</v>
      </c>
      <c r="AS35" s="58">
        <v>0.44852941176470601</v>
      </c>
      <c r="AT35" s="58">
        <v>4.58015267175573E-2</v>
      </c>
      <c r="AU35" s="58">
        <v>1.26582278481013E-2</v>
      </c>
      <c r="AV35" s="58">
        <v>0.39310344827586202</v>
      </c>
      <c r="AW35" s="58">
        <v>0.3</v>
      </c>
      <c r="AX35" s="58">
        <v>0.1</v>
      </c>
      <c r="AY35" s="58">
        <v>0.4</v>
      </c>
      <c r="AZ35" s="58">
        <v>0.4</v>
      </c>
      <c r="BA35" s="58">
        <v>0.5</v>
      </c>
      <c r="BB35" s="58">
        <v>0.25</v>
      </c>
      <c r="BC35" s="58">
        <v>0.33950215731828698</v>
      </c>
      <c r="BD35" s="58">
        <v>0.388867732927139</v>
      </c>
      <c r="BE35" s="58">
        <v>0.38967899774169301</v>
      </c>
      <c r="BF35" s="58">
        <v>0.27245934284765999</v>
      </c>
      <c r="BG35" s="58">
        <v>0.21614835651403899</v>
      </c>
      <c r="BH35" s="58">
        <v>0.26540719002201002</v>
      </c>
      <c r="BI35" s="58" t="s">
        <v>2</v>
      </c>
      <c r="BJ35" s="58" t="s">
        <v>2</v>
      </c>
      <c r="BK35" s="58">
        <v>0.55489999999999995</v>
      </c>
      <c r="BL35" s="58">
        <v>0.24640000000000001</v>
      </c>
      <c r="BM35" s="58">
        <v>1.0500000000000001E-2</v>
      </c>
      <c r="BN35" s="58">
        <v>9.2600000000000002E-2</v>
      </c>
      <c r="BO35" s="58">
        <v>0.74070000000000003</v>
      </c>
      <c r="BP35" s="58">
        <v>0.60870000000000002</v>
      </c>
      <c r="BQ35" s="58">
        <v>0.46250000000000002</v>
      </c>
      <c r="BR35" s="58">
        <v>0.4375</v>
      </c>
      <c r="BS35" s="58">
        <v>0</v>
      </c>
      <c r="BT35" s="58">
        <v>0</v>
      </c>
      <c r="BU35" s="58">
        <v>0</v>
      </c>
      <c r="BV35" s="58">
        <v>0</v>
      </c>
      <c r="BW35" s="58">
        <v>0.86809999999999998</v>
      </c>
      <c r="BX35" s="58">
        <v>0.59570000000000001</v>
      </c>
      <c r="BY35" s="58">
        <v>0.83720000000000006</v>
      </c>
      <c r="BZ35" s="58">
        <v>0.53190000000000004</v>
      </c>
      <c r="CA35" s="58">
        <v>0.88639999999999997</v>
      </c>
      <c r="CB35" s="58">
        <v>0.72340000000000004</v>
      </c>
      <c r="CC35" s="58">
        <v>0.9556</v>
      </c>
      <c r="CD35" s="85" t="s">
        <v>2</v>
      </c>
      <c r="CE35" s="85" t="s">
        <v>2</v>
      </c>
      <c r="CF35" s="58">
        <v>0.9788</v>
      </c>
      <c r="CG35" s="58">
        <v>1</v>
      </c>
      <c r="CH35" s="58">
        <v>1</v>
      </c>
      <c r="CI35" s="58">
        <v>0.129</v>
      </c>
      <c r="CJ35" s="58">
        <v>0.6129</v>
      </c>
      <c r="CK35" s="58">
        <v>0.6774</v>
      </c>
      <c r="CL35" s="60">
        <v>26</v>
      </c>
      <c r="CM35" s="61">
        <v>42</v>
      </c>
      <c r="CN35" s="4"/>
    </row>
    <row r="36" spans="1:92" x14ac:dyDescent="0.25">
      <c r="A36" s="1" t="s">
        <v>54</v>
      </c>
      <c r="B36" s="2" t="s">
        <v>185</v>
      </c>
      <c r="C36" s="2" t="s">
        <v>254</v>
      </c>
      <c r="D36" s="2" t="s">
        <v>153</v>
      </c>
      <c r="E36" s="3">
        <v>29583</v>
      </c>
      <c r="F36" s="59">
        <v>3</v>
      </c>
      <c r="G36" s="59">
        <v>3</v>
      </c>
      <c r="H36" s="59">
        <v>3</v>
      </c>
      <c r="I36" s="59">
        <v>3</v>
      </c>
      <c r="J36" s="59">
        <v>3</v>
      </c>
      <c r="K36" s="59">
        <v>3</v>
      </c>
      <c r="L36" s="59">
        <v>3</v>
      </c>
      <c r="M36" s="59">
        <v>1</v>
      </c>
      <c r="N36" s="58">
        <v>0.25</v>
      </c>
      <c r="O36" s="58">
        <v>0.5</v>
      </c>
      <c r="P36" s="59">
        <v>0</v>
      </c>
      <c r="Q36" s="58">
        <v>4.1700000000000001E-2</v>
      </c>
      <c r="R36" s="58">
        <v>2.7799999999999998E-2</v>
      </c>
      <c r="S36" s="59">
        <v>3</v>
      </c>
      <c r="T36" s="58">
        <v>4.1700000000000001E-2</v>
      </c>
      <c r="U36" s="58">
        <v>0.19439999999999999</v>
      </c>
      <c r="V36" s="59">
        <v>3</v>
      </c>
      <c r="W36" s="58">
        <v>8.8700000000000001E-2</v>
      </c>
      <c r="X36" s="58">
        <v>0.1085</v>
      </c>
      <c r="Y36" s="59">
        <v>3</v>
      </c>
      <c r="Z36" s="58">
        <v>0.1111</v>
      </c>
      <c r="AA36" s="58">
        <v>0</v>
      </c>
      <c r="AB36" s="59">
        <v>2</v>
      </c>
      <c r="AC36" s="58">
        <v>8.3699999999999997E-2</v>
      </c>
      <c r="AD36" s="58">
        <v>0.1404</v>
      </c>
      <c r="AE36" s="59">
        <v>3</v>
      </c>
      <c r="AF36" s="58">
        <v>0.2</v>
      </c>
      <c r="AG36" s="58">
        <v>0.3</v>
      </c>
      <c r="AH36" s="72"/>
      <c r="AI36" s="58">
        <v>0.25</v>
      </c>
      <c r="AJ36" s="58">
        <v>0.75</v>
      </c>
      <c r="AK36" s="58">
        <v>1</v>
      </c>
      <c r="AL36" s="58">
        <v>1</v>
      </c>
      <c r="AM36" s="58">
        <v>0.9</v>
      </c>
      <c r="AN36" s="58">
        <v>1</v>
      </c>
      <c r="AO36" s="58">
        <v>1</v>
      </c>
      <c r="AP36" s="58">
        <v>0.6</v>
      </c>
      <c r="AQ36" s="58">
        <v>4.7619047619047603E-2</v>
      </c>
      <c r="AR36" s="58">
        <v>0</v>
      </c>
      <c r="AS36" s="58">
        <v>0.66666666666666696</v>
      </c>
      <c r="AT36" s="58">
        <v>0.33333333333333298</v>
      </c>
      <c r="AU36" s="58">
        <v>0</v>
      </c>
      <c r="AV36" s="58">
        <v>0</v>
      </c>
      <c r="AW36" s="58">
        <v>0.5</v>
      </c>
      <c r="AX36" s="58">
        <v>0.5</v>
      </c>
      <c r="AY36" s="58" t="s">
        <v>23</v>
      </c>
      <c r="AZ36" s="58">
        <v>0</v>
      </c>
      <c r="BA36" s="58">
        <v>0.5</v>
      </c>
      <c r="BB36" s="58">
        <v>1</v>
      </c>
      <c r="BC36" s="58">
        <v>0.26224010731052999</v>
      </c>
      <c r="BD36" s="58">
        <v>0.325842696629214</v>
      </c>
      <c r="BE36" s="58">
        <v>0.15942028985507301</v>
      </c>
      <c r="BF36" s="58">
        <v>4.69483568075117E-2</v>
      </c>
      <c r="BG36" s="58">
        <v>0.15730337078651699</v>
      </c>
      <c r="BH36" s="58">
        <v>0.74358974358974395</v>
      </c>
      <c r="BI36" s="58" t="s">
        <v>152</v>
      </c>
      <c r="BJ36" s="58" t="s">
        <v>2</v>
      </c>
      <c r="BK36" s="58">
        <v>0.67449999999999999</v>
      </c>
      <c r="BL36" s="58">
        <v>0.1085</v>
      </c>
      <c r="BM36" s="58">
        <v>4.7000000000000002E-3</v>
      </c>
      <c r="BN36" s="58">
        <v>0.55559999999999998</v>
      </c>
      <c r="BO36" s="58" t="s">
        <v>23</v>
      </c>
      <c r="BP36" s="58">
        <v>1</v>
      </c>
      <c r="BQ36" s="58">
        <v>0.84619999999999995</v>
      </c>
      <c r="BR36" s="58">
        <v>0</v>
      </c>
      <c r="BS36" s="58">
        <v>0</v>
      </c>
      <c r="BT36" s="58" t="s">
        <v>23</v>
      </c>
      <c r="BU36" s="58">
        <v>0</v>
      </c>
      <c r="BV36" s="58" t="s">
        <v>23</v>
      </c>
      <c r="BW36" s="58">
        <v>0.9375</v>
      </c>
      <c r="BX36" s="58">
        <v>0.52629999999999999</v>
      </c>
      <c r="BY36" s="58">
        <v>0.82350000000000001</v>
      </c>
      <c r="BZ36" s="58">
        <v>0.26319999999999999</v>
      </c>
      <c r="CA36" s="58">
        <v>0.89470000000000005</v>
      </c>
      <c r="CB36" s="58">
        <v>0.52629999999999999</v>
      </c>
      <c r="CC36" s="58">
        <v>1</v>
      </c>
      <c r="CD36" s="85" t="s">
        <v>2</v>
      </c>
      <c r="CE36" s="85" t="s">
        <v>2</v>
      </c>
      <c r="CF36" s="58">
        <v>1</v>
      </c>
      <c r="CG36" s="58">
        <v>1</v>
      </c>
      <c r="CH36" s="58">
        <v>1</v>
      </c>
      <c r="CI36" s="58">
        <v>0</v>
      </c>
      <c r="CJ36" s="58">
        <v>0</v>
      </c>
      <c r="CK36" s="58">
        <v>0</v>
      </c>
      <c r="CL36" s="60">
        <v>36</v>
      </c>
      <c r="CM36" s="61">
        <v>42</v>
      </c>
      <c r="CN36" s="4"/>
    </row>
    <row r="37" spans="1:92" x14ac:dyDescent="0.25">
      <c r="A37" s="1" t="s">
        <v>55</v>
      </c>
      <c r="B37" s="2" t="s">
        <v>186</v>
      </c>
      <c r="C37" s="2" t="s">
        <v>255</v>
      </c>
      <c r="D37" s="2" t="s">
        <v>153</v>
      </c>
      <c r="E37" s="3">
        <v>29560</v>
      </c>
      <c r="F37" s="59">
        <v>3</v>
      </c>
      <c r="G37" s="59">
        <v>3</v>
      </c>
      <c r="H37" s="59">
        <v>3</v>
      </c>
      <c r="I37" s="59">
        <v>3</v>
      </c>
      <c r="J37" s="59">
        <v>3</v>
      </c>
      <c r="K37" s="59">
        <v>3</v>
      </c>
      <c r="L37" s="59">
        <v>3</v>
      </c>
      <c r="M37" s="59">
        <v>1</v>
      </c>
      <c r="N37" s="58">
        <v>3.3300000000000003E-2</v>
      </c>
      <c r="O37" s="58">
        <v>0.46150000000000002</v>
      </c>
      <c r="P37" s="59">
        <v>1</v>
      </c>
      <c r="Q37" s="58">
        <v>1.7399999999999999E-2</v>
      </c>
      <c r="R37" s="58">
        <v>6.25E-2</v>
      </c>
      <c r="S37" s="59">
        <v>0</v>
      </c>
      <c r="T37" s="58">
        <v>3.4799999999999998E-2</v>
      </c>
      <c r="U37" s="58">
        <v>2.4400000000000002E-2</v>
      </c>
      <c r="V37" s="59">
        <v>3</v>
      </c>
      <c r="W37" s="58">
        <v>8.0100000000000005E-2</v>
      </c>
      <c r="X37" s="58">
        <v>0.1014</v>
      </c>
      <c r="Y37" s="59">
        <v>3</v>
      </c>
      <c r="Z37" s="58">
        <v>0</v>
      </c>
      <c r="AA37" s="58">
        <v>0</v>
      </c>
      <c r="AB37" s="59">
        <v>0</v>
      </c>
      <c r="AC37" s="58">
        <v>5.8700000000000002E-2</v>
      </c>
      <c r="AD37" s="58">
        <v>0.19400000000000001</v>
      </c>
      <c r="AE37" s="59">
        <v>1</v>
      </c>
      <c r="AF37" s="58">
        <v>0.06</v>
      </c>
      <c r="AG37" s="58">
        <v>0.20399999999999999</v>
      </c>
      <c r="AH37" s="72"/>
      <c r="AI37" s="58">
        <v>3.3300000000000003E-2</v>
      </c>
      <c r="AJ37" s="58">
        <v>0.9667</v>
      </c>
      <c r="AK37" s="58">
        <v>1</v>
      </c>
      <c r="AL37" s="58">
        <v>0.93023255813953498</v>
      </c>
      <c r="AM37" s="58">
        <v>0.94871794871794901</v>
      </c>
      <c r="AN37" s="58">
        <v>1</v>
      </c>
      <c r="AO37" s="58">
        <v>0.97674418604651203</v>
      </c>
      <c r="AP37" s="58">
        <v>0.94827586206896597</v>
      </c>
      <c r="AQ37" s="58">
        <v>9.7560975609756101E-2</v>
      </c>
      <c r="AR37" s="58">
        <v>2.5641025641025599E-2</v>
      </c>
      <c r="AS37" s="58">
        <v>0.45454545454545497</v>
      </c>
      <c r="AT37" s="58">
        <v>4.8780487804878099E-2</v>
      </c>
      <c r="AU37" s="58">
        <v>0</v>
      </c>
      <c r="AV37" s="58">
        <v>0.17647058823529399</v>
      </c>
      <c r="AW37" s="58">
        <v>1</v>
      </c>
      <c r="AX37" s="58">
        <v>0</v>
      </c>
      <c r="AY37" s="58">
        <v>0.75</v>
      </c>
      <c r="AZ37" s="58">
        <v>1</v>
      </c>
      <c r="BA37" s="58">
        <v>1</v>
      </c>
      <c r="BB37" s="58">
        <v>0.25</v>
      </c>
      <c r="BC37" s="58">
        <v>0.300448974639</v>
      </c>
      <c r="BD37" s="58">
        <v>0.244850777637663</v>
      </c>
      <c r="BE37" s="58">
        <v>0.34650166587339398</v>
      </c>
      <c r="BF37" s="58">
        <v>0.14524936294139101</v>
      </c>
      <c r="BG37" s="58">
        <v>9.3117408906882596E-2</v>
      </c>
      <c r="BH37" s="58">
        <v>0.24434389140271501</v>
      </c>
      <c r="BI37" s="58" t="s">
        <v>2</v>
      </c>
      <c r="BJ37" s="58" t="s">
        <v>2</v>
      </c>
      <c r="BK37" s="58">
        <v>0.68840000000000001</v>
      </c>
      <c r="BL37" s="58">
        <v>0.1014</v>
      </c>
      <c r="BM37" s="58">
        <v>7.1999999999999998E-3</v>
      </c>
      <c r="BN37" s="58">
        <v>0.625</v>
      </c>
      <c r="BO37" s="58" t="s">
        <v>23</v>
      </c>
      <c r="BP37" s="58">
        <v>0.66669999999999996</v>
      </c>
      <c r="BQ37" s="58">
        <v>0.75</v>
      </c>
      <c r="BR37" s="58" t="s">
        <v>23</v>
      </c>
      <c r="BS37" s="58" t="s">
        <v>23</v>
      </c>
      <c r="BT37" s="58" t="s">
        <v>23</v>
      </c>
      <c r="BU37" s="58" t="s">
        <v>23</v>
      </c>
      <c r="BV37" s="58" t="s">
        <v>23</v>
      </c>
      <c r="BW37" s="58">
        <v>1</v>
      </c>
      <c r="BX37" s="58">
        <v>0.52629999999999999</v>
      </c>
      <c r="BY37" s="58">
        <v>1</v>
      </c>
      <c r="BZ37" s="58">
        <v>0.52629999999999999</v>
      </c>
      <c r="CA37" s="58">
        <v>1</v>
      </c>
      <c r="CB37" s="58">
        <v>0.73680000000000001</v>
      </c>
      <c r="CC37" s="58">
        <v>1</v>
      </c>
      <c r="CD37" s="85" t="s">
        <v>2</v>
      </c>
      <c r="CE37" s="85" t="s">
        <v>2</v>
      </c>
      <c r="CF37" s="58">
        <v>1</v>
      </c>
      <c r="CG37" s="58">
        <v>1</v>
      </c>
      <c r="CH37" s="58">
        <v>1</v>
      </c>
      <c r="CI37" s="58">
        <v>0.16669999999999999</v>
      </c>
      <c r="CJ37" s="58">
        <v>0.33329999999999999</v>
      </c>
      <c r="CK37" s="58">
        <v>0.33329999999999999</v>
      </c>
      <c r="CL37" s="60">
        <v>30</v>
      </c>
      <c r="CM37" s="61">
        <v>42</v>
      </c>
      <c r="CN37" s="4"/>
    </row>
    <row r="38" spans="1:92" x14ac:dyDescent="0.25">
      <c r="A38" s="1" t="s">
        <v>56</v>
      </c>
      <c r="B38" s="2" t="s">
        <v>187</v>
      </c>
      <c r="C38" s="2" t="s">
        <v>256</v>
      </c>
      <c r="D38" s="2" t="s">
        <v>153</v>
      </c>
      <c r="E38" s="3">
        <v>29161</v>
      </c>
      <c r="F38" s="59">
        <v>3</v>
      </c>
      <c r="G38" s="59">
        <v>3</v>
      </c>
      <c r="H38" s="59">
        <v>3</v>
      </c>
      <c r="I38" s="59">
        <v>3</v>
      </c>
      <c r="J38" s="59">
        <v>3</v>
      </c>
      <c r="K38" s="59">
        <v>3</v>
      </c>
      <c r="L38" s="59">
        <v>3</v>
      </c>
      <c r="M38" s="59">
        <v>3</v>
      </c>
      <c r="N38" s="58">
        <v>0.23080000000000001</v>
      </c>
      <c r="O38" s="58">
        <v>0.63639999999999997</v>
      </c>
      <c r="P38" s="59">
        <v>1</v>
      </c>
      <c r="Q38" s="58">
        <v>6.25E-2</v>
      </c>
      <c r="R38" s="58">
        <v>0.1053</v>
      </c>
      <c r="S38" s="59">
        <v>1</v>
      </c>
      <c r="T38" s="58">
        <v>0</v>
      </c>
      <c r="U38" s="58">
        <v>5.2600000000000001E-2</v>
      </c>
      <c r="V38" s="59">
        <v>1</v>
      </c>
      <c r="W38" s="58">
        <v>0.1792</v>
      </c>
      <c r="X38" s="58">
        <v>0.16669999999999999</v>
      </c>
      <c r="Y38" s="59">
        <v>3</v>
      </c>
      <c r="Z38" s="58">
        <v>0.1429</v>
      </c>
      <c r="AA38" s="58">
        <v>9.0899999999999995E-2</v>
      </c>
      <c r="AB38" s="59">
        <v>0</v>
      </c>
      <c r="AC38" s="58">
        <v>0</v>
      </c>
      <c r="AD38" s="58">
        <v>0.26169999999999999</v>
      </c>
      <c r="AE38" s="59">
        <v>0</v>
      </c>
      <c r="AF38" s="58">
        <v>0</v>
      </c>
      <c r="AG38" s="58">
        <v>0</v>
      </c>
      <c r="AH38" s="72"/>
      <c r="AI38" s="58">
        <v>0.23080000000000001</v>
      </c>
      <c r="AJ38" s="58">
        <v>0.3846</v>
      </c>
      <c r="AK38" s="58">
        <v>1</v>
      </c>
      <c r="AL38" s="58">
        <v>1</v>
      </c>
      <c r="AM38" s="58">
        <v>1</v>
      </c>
      <c r="AN38" s="58">
        <v>1</v>
      </c>
      <c r="AO38" s="58">
        <v>1</v>
      </c>
      <c r="AP38" s="58">
        <v>0.77777777777777801</v>
      </c>
      <c r="AQ38" s="58">
        <v>0.25</v>
      </c>
      <c r="AR38" s="58">
        <v>6.6666666666666693E-2</v>
      </c>
      <c r="AS38" s="58">
        <v>0.33333333333333298</v>
      </c>
      <c r="AT38" s="58">
        <v>0.25</v>
      </c>
      <c r="AU38" s="58">
        <v>0</v>
      </c>
      <c r="AV38" s="58">
        <v>0.214285714285714</v>
      </c>
      <c r="AW38" s="58">
        <v>1</v>
      </c>
      <c r="AX38" s="58" t="s">
        <v>23</v>
      </c>
      <c r="AY38" s="58" t="s">
        <v>23</v>
      </c>
      <c r="AZ38" s="58">
        <v>1</v>
      </c>
      <c r="BA38" s="58" t="s">
        <v>23</v>
      </c>
      <c r="BB38" s="58" t="s">
        <v>23</v>
      </c>
      <c r="BC38" s="58">
        <v>-3.0487804878048801E-2</v>
      </c>
      <c r="BD38" s="58">
        <v>0.206060606060606</v>
      </c>
      <c r="BE38" s="58">
        <v>0.38596491228070201</v>
      </c>
      <c r="BF38" s="58">
        <v>-3.0487804878048801E-2</v>
      </c>
      <c r="BG38" s="58">
        <v>0.204545454545455</v>
      </c>
      <c r="BH38" s="58">
        <v>5.2380952380952403E-2</v>
      </c>
      <c r="BI38" s="58" t="s">
        <v>2</v>
      </c>
      <c r="BJ38" s="58" t="s">
        <v>2</v>
      </c>
      <c r="BK38" s="58">
        <v>0.66669999999999996</v>
      </c>
      <c r="BL38" s="58">
        <v>0.16669999999999999</v>
      </c>
      <c r="BM38" s="58">
        <v>1.04E-2</v>
      </c>
      <c r="BN38" s="58">
        <v>0.5</v>
      </c>
      <c r="BO38" s="58">
        <v>0.25</v>
      </c>
      <c r="BP38" s="58">
        <v>1</v>
      </c>
      <c r="BQ38" s="58">
        <v>0.8</v>
      </c>
      <c r="BR38" s="58" t="s">
        <v>23</v>
      </c>
      <c r="BS38" s="58" t="s">
        <v>23</v>
      </c>
      <c r="BT38" s="58" t="s">
        <v>23</v>
      </c>
      <c r="BU38" s="58" t="s">
        <v>23</v>
      </c>
      <c r="BV38" s="58" t="s">
        <v>23</v>
      </c>
      <c r="BW38" s="58">
        <v>1</v>
      </c>
      <c r="BX38" s="58">
        <v>0.75</v>
      </c>
      <c r="BY38" s="58">
        <v>1</v>
      </c>
      <c r="BZ38" s="58">
        <v>0.75</v>
      </c>
      <c r="CA38" s="58">
        <v>1</v>
      </c>
      <c r="CB38" s="58">
        <v>0.875</v>
      </c>
      <c r="CC38" s="58">
        <v>1</v>
      </c>
      <c r="CD38" s="85" t="s">
        <v>2</v>
      </c>
      <c r="CE38" s="85" t="s">
        <v>2</v>
      </c>
      <c r="CF38" s="58">
        <v>1</v>
      </c>
      <c r="CG38" s="58">
        <v>1</v>
      </c>
      <c r="CH38" s="58">
        <v>1</v>
      </c>
      <c r="CI38" s="58">
        <v>0</v>
      </c>
      <c r="CJ38" s="58">
        <v>0.66669999999999996</v>
      </c>
      <c r="CK38" s="58">
        <v>0.66669999999999996</v>
      </c>
      <c r="CL38" s="60">
        <v>30</v>
      </c>
      <c r="CM38" s="61">
        <v>42</v>
      </c>
      <c r="CN38" s="4"/>
    </row>
    <row r="39" spans="1:92" x14ac:dyDescent="0.25">
      <c r="A39" s="1" t="s">
        <v>57</v>
      </c>
      <c r="B39" s="2" t="s">
        <v>188</v>
      </c>
      <c r="C39" s="2" t="s">
        <v>257</v>
      </c>
      <c r="D39" s="2" t="s">
        <v>153</v>
      </c>
      <c r="E39" s="3">
        <v>29555</v>
      </c>
      <c r="F39" s="59">
        <v>3</v>
      </c>
      <c r="G39" s="59">
        <v>3</v>
      </c>
      <c r="H39" s="59">
        <v>3</v>
      </c>
      <c r="I39" s="59">
        <v>3</v>
      </c>
      <c r="J39" s="59">
        <v>3</v>
      </c>
      <c r="K39" s="59">
        <v>3</v>
      </c>
      <c r="L39" s="59">
        <v>3</v>
      </c>
      <c r="M39" s="59">
        <v>0</v>
      </c>
      <c r="N39" s="58">
        <v>0.33329999999999999</v>
      </c>
      <c r="O39" s="58">
        <v>0.25</v>
      </c>
      <c r="P39" s="59">
        <v>1</v>
      </c>
      <c r="Q39" s="58">
        <v>0.1176</v>
      </c>
      <c r="R39" s="58">
        <v>0.11899999999999999</v>
      </c>
      <c r="S39" s="59">
        <v>0</v>
      </c>
      <c r="T39" s="58">
        <v>7.8399999999999997E-2</v>
      </c>
      <c r="U39" s="58">
        <v>4.8800000000000003E-2</v>
      </c>
      <c r="V39" s="59">
        <v>3</v>
      </c>
      <c r="W39" s="58">
        <v>0.1055</v>
      </c>
      <c r="X39" s="58">
        <v>0.1027</v>
      </c>
      <c r="Y39" s="59">
        <v>3</v>
      </c>
      <c r="Z39" s="58">
        <v>0</v>
      </c>
      <c r="AA39" s="58">
        <v>0</v>
      </c>
      <c r="AB39" s="59">
        <v>0</v>
      </c>
      <c r="AC39" s="58">
        <v>8.5900000000000004E-2</v>
      </c>
      <c r="AD39" s="58">
        <v>0.1704</v>
      </c>
      <c r="AE39" s="59">
        <v>1</v>
      </c>
      <c r="AF39" s="58">
        <v>7.6999999999999999E-2</v>
      </c>
      <c r="AG39" s="58">
        <v>0.154</v>
      </c>
      <c r="AH39" s="72"/>
      <c r="AI39" s="58">
        <v>0.33329999999999999</v>
      </c>
      <c r="AJ39" s="58">
        <v>0.44440000000000002</v>
      </c>
      <c r="AK39" s="58">
        <v>0.78571428571428603</v>
      </c>
      <c r="AL39" s="58">
        <v>1</v>
      </c>
      <c r="AM39" s="58">
        <v>0.9375</v>
      </c>
      <c r="AN39" s="58">
        <v>0.78571428571428603</v>
      </c>
      <c r="AO39" s="58">
        <v>0.95454545454545503</v>
      </c>
      <c r="AP39" s="58">
        <v>1</v>
      </c>
      <c r="AQ39" s="58">
        <v>9.0909090909090898E-2</v>
      </c>
      <c r="AR39" s="58">
        <v>0.15</v>
      </c>
      <c r="AS39" s="58">
        <v>0.4</v>
      </c>
      <c r="AT39" s="58">
        <v>9.0909090909090898E-2</v>
      </c>
      <c r="AU39" s="58">
        <v>0</v>
      </c>
      <c r="AV39" s="58">
        <v>0.33333333333333298</v>
      </c>
      <c r="AW39" s="58" t="s">
        <v>23</v>
      </c>
      <c r="AX39" s="58">
        <v>0.5</v>
      </c>
      <c r="AY39" s="58" t="s">
        <v>23</v>
      </c>
      <c r="AZ39" s="58" t="s">
        <v>23</v>
      </c>
      <c r="BA39" s="58">
        <v>0.5</v>
      </c>
      <c r="BB39" s="58" t="s">
        <v>23</v>
      </c>
      <c r="BC39" s="58">
        <v>0.26136363636363602</v>
      </c>
      <c r="BD39" s="58">
        <v>0.23095238095238099</v>
      </c>
      <c r="BE39" s="58">
        <v>0.395454545454545</v>
      </c>
      <c r="BF39" s="58">
        <v>0.32954545454545497</v>
      </c>
      <c r="BG39" s="58">
        <v>0.22115384615384601</v>
      </c>
      <c r="BH39" s="58">
        <v>0.43378995433790002</v>
      </c>
      <c r="BI39" s="58" t="s">
        <v>2</v>
      </c>
      <c r="BJ39" s="58" t="s">
        <v>2</v>
      </c>
      <c r="BK39" s="58">
        <v>0.77569999999999995</v>
      </c>
      <c r="BL39" s="58">
        <v>0.1027</v>
      </c>
      <c r="BM39" s="58">
        <v>7.6E-3</v>
      </c>
      <c r="BN39" s="58">
        <v>1</v>
      </c>
      <c r="BO39" s="58" t="s">
        <v>23</v>
      </c>
      <c r="BP39" s="58">
        <v>1</v>
      </c>
      <c r="BQ39" s="58">
        <v>0.75</v>
      </c>
      <c r="BR39" s="58" t="s">
        <v>23</v>
      </c>
      <c r="BS39" s="58">
        <v>0.25</v>
      </c>
      <c r="BT39" s="58" t="s">
        <v>23</v>
      </c>
      <c r="BU39" s="58">
        <v>0.25</v>
      </c>
      <c r="BV39" s="58" t="s">
        <v>23</v>
      </c>
      <c r="BW39" s="58">
        <v>1</v>
      </c>
      <c r="BX39" s="58">
        <v>0.33329999999999999</v>
      </c>
      <c r="BY39" s="58">
        <v>1</v>
      </c>
      <c r="BZ39" s="58">
        <v>0.25</v>
      </c>
      <c r="CA39" s="58">
        <v>1</v>
      </c>
      <c r="CB39" s="58">
        <v>0.33329999999999999</v>
      </c>
      <c r="CC39" s="58">
        <v>1</v>
      </c>
      <c r="CD39" s="85" t="s">
        <v>2</v>
      </c>
      <c r="CE39" s="85" t="s">
        <v>2</v>
      </c>
      <c r="CF39" s="58">
        <v>1</v>
      </c>
      <c r="CG39" s="58">
        <v>1</v>
      </c>
      <c r="CH39" s="58">
        <v>1</v>
      </c>
      <c r="CI39" s="58">
        <v>0</v>
      </c>
      <c r="CJ39" s="58">
        <v>0.5</v>
      </c>
      <c r="CK39" s="58">
        <v>0.75</v>
      </c>
      <c r="CL39" s="60">
        <v>26</v>
      </c>
      <c r="CM39" s="61">
        <v>42</v>
      </c>
      <c r="CN39" s="4"/>
    </row>
    <row r="40" spans="1:92" x14ac:dyDescent="0.25">
      <c r="A40" s="1" t="s">
        <v>58</v>
      </c>
      <c r="B40" s="2" t="s">
        <v>189</v>
      </c>
      <c r="C40" s="2" t="s">
        <v>258</v>
      </c>
      <c r="D40" s="2" t="s">
        <v>153</v>
      </c>
      <c r="E40" s="3">
        <v>29440</v>
      </c>
      <c r="F40" s="59">
        <v>3</v>
      </c>
      <c r="G40" s="59">
        <v>3</v>
      </c>
      <c r="H40" s="59">
        <v>2</v>
      </c>
      <c r="I40" s="59">
        <v>3</v>
      </c>
      <c r="J40" s="59">
        <v>2</v>
      </c>
      <c r="K40" s="59">
        <v>3</v>
      </c>
      <c r="L40" s="59">
        <v>3</v>
      </c>
      <c r="M40" s="59">
        <v>3</v>
      </c>
      <c r="N40" s="58">
        <v>0.61629999999999996</v>
      </c>
      <c r="O40" s="58">
        <v>0.7419</v>
      </c>
      <c r="P40" s="59">
        <v>1</v>
      </c>
      <c r="Q40" s="58">
        <v>7.0099999999999996E-2</v>
      </c>
      <c r="R40" s="58">
        <v>7.4800000000000005E-2</v>
      </c>
      <c r="S40" s="59">
        <v>0</v>
      </c>
      <c r="T40" s="58">
        <v>7.0099999999999996E-2</v>
      </c>
      <c r="U40" s="58">
        <v>5.1400000000000001E-2</v>
      </c>
      <c r="V40" s="59">
        <v>3</v>
      </c>
      <c r="W40" s="58">
        <v>9.1700000000000004E-2</v>
      </c>
      <c r="X40" s="58">
        <v>7.7700000000000005E-2</v>
      </c>
      <c r="Y40" s="59">
        <v>2</v>
      </c>
      <c r="Z40" s="58">
        <v>0.27400000000000002</v>
      </c>
      <c r="AA40" s="58">
        <v>0.31879999999999997</v>
      </c>
      <c r="AB40" s="59">
        <v>0</v>
      </c>
      <c r="AC40" s="58">
        <v>0.1053</v>
      </c>
      <c r="AD40" s="58">
        <v>0.2359</v>
      </c>
      <c r="AE40" s="59">
        <v>0</v>
      </c>
      <c r="AF40" s="58">
        <v>0.23200000000000001</v>
      </c>
      <c r="AG40" s="58">
        <v>0.17899999999999999</v>
      </c>
      <c r="AH40" s="72"/>
      <c r="AI40" s="58">
        <v>0.61629999999999996</v>
      </c>
      <c r="AJ40" s="58">
        <v>0.3372</v>
      </c>
      <c r="AK40" s="58">
        <v>0.98989898989898994</v>
      </c>
      <c r="AL40" s="58">
        <v>0.97794117647058798</v>
      </c>
      <c r="AM40" s="58">
        <v>0.95901639344262302</v>
      </c>
      <c r="AN40" s="58">
        <v>1</v>
      </c>
      <c r="AO40" s="58">
        <v>0.97058823529411797</v>
      </c>
      <c r="AP40" s="58">
        <v>0.92142857142857104</v>
      </c>
      <c r="AQ40" s="58">
        <v>0.10989010989011</v>
      </c>
      <c r="AR40" s="58">
        <v>4.8780487804878099E-2</v>
      </c>
      <c r="AS40" s="58">
        <v>0.36448598130841098</v>
      </c>
      <c r="AT40" s="58">
        <v>7.6086956521739094E-2</v>
      </c>
      <c r="AU40" s="58">
        <v>3.2786885245901599E-2</v>
      </c>
      <c r="AV40" s="58">
        <v>0.15702479338843001</v>
      </c>
      <c r="AW40" s="58">
        <v>0.57142857142857095</v>
      </c>
      <c r="AX40" s="58">
        <v>0.2</v>
      </c>
      <c r="AY40" s="58">
        <v>0.4</v>
      </c>
      <c r="AZ40" s="58">
        <v>0.57142857142857095</v>
      </c>
      <c r="BA40" s="58">
        <v>0.3</v>
      </c>
      <c r="BB40" s="58">
        <v>0.25</v>
      </c>
      <c r="BC40" s="58">
        <v>0.28976084997027401</v>
      </c>
      <c r="BD40" s="58">
        <v>0.30887330332530799</v>
      </c>
      <c r="BE40" s="58">
        <v>0.46530125273414202</v>
      </c>
      <c r="BF40" s="58">
        <v>0.259565217391304</v>
      </c>
      <c r="BG40" s="58">
        <v>0.153459533092207</v>
      </c>
      <c r="BH40" s="58">
        <v>0.22047066940648899</v>
      </c>
      <c r="BI40" s="58" t="s">
        <v>2</v>
      </c>
      <c r="BJ40" s="58" t="s">
        <v>2</v>
      </c>
      <c r="BK40" s="58">
        <v>0.55379999999999996</v>
      </c>
      <c r="BL40" s="58">
        <v>7.7700000000000005E-2</v>
      </c>
      <c r="BM40" s="58">
        <v>1.8499999999999999E-2</v>
      </c>
      <c r="BN40" s="58">
        <v>0.23080000000000001</v>
      </c>
      <c r="BO40" s="58">
        <v>0.61539999999999995</v>
      </c>
      <c r="BP40" s="58">
        <v>0.66669999999999996</v>
      </c>
      <c r="BQ40" s="58">
        <v>0.7097</v>
      </c>
      <c r="BR40" s="58">
        <v>0.19350000000000001</v>
      </c>
      <c r="BS40" s="58">
        <v>0</v>
      </c>
      <c r="BT40" s="58">
        <v>3.85E-2</v>
      </c>
      <c r="BU40" s="58">
        <v>0</v>
      </c>
      <c r="BV40" s="58">
        <v>0</v>
      </c>
      <c r="BW40" s="58">
        <v>0.9123</v>
      </c>
      <c r="BX40" s="58">
        <v>0.4355</v>
      </c>
      <c r="BY40" s="58">
        <v>0.89659999999999995</v>
      </c>
      <c r="BZ40" s="58">
        <v>0.4194</v>
      </c>
      <c r="CA40" s="58">
        <v>0.88890000000000002</v>
      </c>
      <c r="CB40" s="58">
        <v>0.5806</v>
      </c>
      <c r="CC40" s="58">
        <v>1</v>
      </c>
      <c r="CD40" s="85" t="s">
        <v>2</v>
      </c>
      <c r="CE40" s="85" t="s">
        <v>2</v>
      </c>
      <c r="CF40" s="58">
        <v>0.9869</v>
      </c>
      <c r="CG40" s="58">
        <v>1</v>
      </c>
      <c r="CH40" s="58">
        <v>1</v>
      </c>
      <c r="CI40" s="58">
        <v>0.44440000000000002</v>
      </c>
      <c r="CJ40" s="58">
        <v>0.55559999999999998</v>
      </c>
      <c r="CK40" s="58">
        <v>0.77780000000000005</v>
      </c>
      <c r="CL40" s="60">
        <v>28</v>
      </c>
      <c r="CM40" s="61">
        <v>42</v>
      </c>
      <c r="CN40" s="4"/>
    </row>
    <row r="41" spans="1:92" x14ac:dyDescent="0.25">
      <c r="A41" s="1" t="s">
        <v>59</v>
      </c>
      <c r="B41" s="2" t="s">
        <v>190</v>
      </c>
      <c r="C41" s="2" t="s">
        <v>59</v>
      </c>
      <c r="D41" s="2" t="s">
        <v>153</v>
      </c>
      <c r="E41" s="3">
        <v>29601</v>
      </c>
      <c r="F41" s="59">
        <v>3</v>
      </c>
      <c r="G41" s="59">
        <v>3</v>
      </c>
      <c r="H41" s="59">
        <v>3</v>
      </c>
      <c r="I41" s="59">
        <v>3</v>
      </c>
      <c r="J41" s="59">
        <v>2</v>
      </c>
      <c r="K41" s="59">
        <v>3</v>
      </c>
      <c r="L41" s="59">
        <v>3</v>
      </c>
      <c r="M41" s="59">
        <v>2</v>
      </c>
      <c r="N41" s="58">
        <v>0.55189999999999995</v>
      </c>
      <c r="O41" s="58">
        <v>0.59889999999999999</v>
      </c>
      <c r="P41" s="59">
        <v>3</v>
      </c>
      <c r="Q41" s="58">
        <v>0.184</v>
      </c>
      <c r="R41" s="58">
        <v>0.1678</v>
      </c>
      <c r="S41" s="59">
        <v>3</v>
      </c>
      <c r="T41" s="58">
        <v>0.1678</v>
      </c>
      <c r="U41" s="58">
        <v>0.1681</v>
      </c>
      <c r="V41" s="59">
        <v>0</v>
      </c>
      <c r="W41" s="58">
        <v>0.15559999999999999</v>
      </c>
      <c r="X41" s="58">
        <v>0.15690000000000001</v>
      </c>
      <c r="Y41" s="59">
        <v>1</v>
      </c>
      <c r="Z41" s="58">
        <v>0.47549999999999998</v>
      </c>
      <c r="AA41" s="58">
        <v>0.47499999999999998</v>
      </c>
      <c r="AB41" s="59">
        <v>0</v>
      </c>
      <c r="AC41" s="58">
        <v>6.9500000000000006E-2</v>
      </c>
      <c r="AD41" s="58">
        <v>0.1605</v>
      </c>
      <c r="AE41" s="59">
        <v>3</v>
      </c>
      <c r="AF41" s="58">
        <v>0.24</v>
      </c>
      <c r="AG41" s="58">
        <v>0.42699999999999999</v>
      </c>
      <c r="AH41" s="72"/>
      <c r="AI41" s="58">
        <v>0.55189999999999995</v>
      </c>
      <c r="AJ41" s="58">
        <v>0.27600000000000002</v>
      </c>
      <c r="AK41" s="58">
        <v>0.98670465337131996</v>
      </c>
      <c r="AL41" s="58">
        <v>0.95865384615384597</v>
      </c>
      <c r="AM41" s="58">
        <v>0.92606060606060603</v>
      </c>
      <c r="AN41" s="58">
        <v>0.98861480075901298</v>
      </c>
      <c r="AO41" s="58">
        <v>0.95773294908741602</v>
      </c>
      <c r="AP41" s="58">
        <v>0.90715667311411996</v>
      </c>
      <c r="AQ41" s="58">
        <v>0.23283582089552199</v>
      </c>
      <c r="AR41" s="58">
        <v>9.8516949152542402E-2</v>
      </c>
      <c r="AS41" s="58">
        <v>0.54520166898470102</v>
      </c>
      <c r="AT41" s="58">
        <v>0.261171797418074</v>
      </c>
      <c r="AU41" s="58">
        <v>6.88559322033898E-2</v>
      </c>
      <c r="AV41" s="58">
        <v>0.389261744966443</v>
      </c>
      <c r="AW41" s="58">
        <v>0.38235294117647101</v>
      </c>
      <c r="AX41" s="58">
        <v>0.35849056603773599</v>
      </c>
      <c r="AY41" s="58">
        <v>0.28888888888888897</v>
      </c>
      <c r="AZ41" s="58">
        <v>0.34285714285714303</v>
      </c>
      <c r="BA41" s="58">
        <v>0.30188679245283001</v>
      </c>
      <c r="BB41" s="58">
        <v>0.27272727272727298</v>
      </c>
      <c r="BC41" s="58">
        <v>0.377143460872433</v>
      </c>
      <c r="BD41" s="58">
        <v>0.41322989438269803</v>
      </c>
      <c r="BE41" s="58">
        <v>0.32405120457851699</v>
      </c>
      <c r="BF41" s="58">
        <v>0.30865385423046798</v>
      </c>
      <c r="BG41" s="58">
        <v>0.31192925771043101</v>
      </c>
      <c r="BH41" s="58">
        <v>0.28782988849969199</v>
      </c>
      <c r="BI41" s="58" t="s">
        <v>2</v>
      </c>
      <c r="BJ41" s="58" t="s">
        <v>2</v>
      </c>
      <c r="BK41" s="58">
        <v>0.68440000000000001</v>
      </c>
      <c r="BL41" s="58">
        <v>0.15690000000000001</v>
      </c>
      <c r="BM41" s="58">
        <v>2.1299999999999999E-2</v>
      </c>
      <c r="BN41" s="58">
        <v>1.52E-2</v>
      </c>
      <c r="BO41" s="58">
        <v>0.54310000000000003</v>
      </c>
      <c r="BP41" s="58">
        <v>0.30609999999999998</v>
      </c>
      <c r="BQ41" s="58">
        <v>0.23719999999999999</v>
      </c>
      <c r="BR41" s="58">
        <v>0.438</v>
      </c>
      <c r="BS41" s="58">
        <v>1.46E-2</v>
      </c>
      <c r="BT41" s="58">
        <v>0</v>
      </c>
      <c r="BU41" s="58">
        <v>1.46E-2</v>
      </c>
      <c r="BV41" s="58">
        <v>0</v>
      </c>
      <c r="BW41" s="58">
        <v>0.80349999999999999</v>
      </c>
      <c r="BX41" s="58">
        <v>0.49930000000000002</v>
      </c>
      <c r="BY41" s="58">
        <v>0.7167</v>
      </c>
      <c r="BZ41" s="58">
        <v>0.57750000000000001</v>
      </c>
      <c r="CA41" s="58">
        <v>0.77590000000000003</v>
      </c>
      <c r="CB41" s="58">
        <v>0.63519999999999999</v>
      </c>
      <c r="CC41" s="58">
        <v>0.9899</v>
      </c>
      <c r="CD41" s="85" t="s">
        <v>2</v>
      </c>
      <c r="CE41" s="85" t="s">
        <v>2</v>
      </c>
      <c r="CF41" s="58">
        <v>0.99860000000000004</v>
      </c>
      <c r="CG41" s="58">
        <v>1</v>
      </c>
      <c r="CH41" s="58">
        <v>1</v>
      </c>
      <c r="CI41" s="58">
        <v>0.2727</v>
      </c>
      <c r="CJ41" s="58">
        <v>0.76519999999999999</v>
      </c>
      <c r="CK41" s="58">
        <v>0.81059999999999999</v>
      </c>
      <c r="CL41" s="60">
        <v>32</v>
      </c>
      <c r="CM41" s="61">
        <v>42</v>
      </c>
      <c r="CN41" s="4"/>
    </row>
    <row r="42" spans="1:92" x14ac:dyDescent="0.25">
      <c r="A42" s="1" t="s">
        <v>60</v>
      </c>
      <c r="B42" s="2" t="s">
        <v>191</v>
      </c>
      <c r="C42" s="2" t="s">
        <v>259</v>
      </c>
      <c r="D42" s="2" t="s">
        <v>153</v>
      </c>
      <c r="E42" s="3">
        <v>29648</v>
      </c>
      <c r="F42" s="59">
        <v>3</v>
      </c>
      <c r="G42" s="59">
        <v>3</v>
      </c>
      <c r="H42" s="59">
        <v>3</v>
      </c>
      <c r="I42" s="59">
        <v>3</v>
      </c>
      <c r="J42" s="59">
        <v>2</v>
      </c>
      <c r="K42" s="59">
        <v>3</v>
      </c>
      <c r="L42" s="59">
        <v>3</v>
      </c>
      <c r="M42" s="59">
        <v>2</v>
      </c>
      <c r="N42" s="58">
        <v>0.21879999999999999</v>
      </c>
      <c r="O42" s="58">
        <v>0.56759999999999999</v>
      </c>
      <c r="P42" s="59">
        <v>0</v>
      </c>
      <c r="Q42" s="58">
        <v>0.1024</v>
      </c>
      <c r="R42" s="58">
        <v>5.6000000000000001E-2</v>
      </c>
      <c r="S42" s="59">
        <v>0</v>
      </c>
      <c r="T42" s="58">
        <v>7.8700000000000006E-2</v>
      </c>
      <c r="U42" s="58">
        <v>6.4000000000000001E-2</v>
      </c>
      <c r="V42" s="59">
        <v>1</v>
      </c>
      <c r="W42" s="58">
        <v>0.18090000000000001</v>
      </c>
      <c r="X42" s="58">
        <v>0.15709999999999999</v>
      </c>
      <c r="Y42" s="59">
        <v>3</v>
      </c>
      <c r="Z42" s="58">
        <v>5.8799999999999998E-2</v>
      </c>
      <c r="AA42" s="58">
        <v>3.1699999999999999E-2</v>
      </c>
      <c r="AB42" s="59">
        <v>0</v>
      </c>
      <c r="AC42" s="58">
        <v>0.14510000000000001</v>
      </c>
      <c r="AD42" s="58">
        <v>0.20349999999999999</v>
      </c>
      <c r="AE42" s="59">
        <v>1</v>
      </c>
      <c r="AF42" s="58">
        <v>0.16</v>
      </c>
      <c r="AG42" s="58">
        <v>0.189</v>
      </c>
      <c r="AH42" s="72"/>
      <c r="AI42" s="58">
        <v>0.21879999999999999</v>
      </c>
      <c r="AJ42" s="58">
        <v>0.78129999999999999</v>
      </c>
      <c r="AK42" s="58">
        <v>1</v>
      </c>
      <c r="AL42" s="58">
        <v>0.94117647058823495</v>
      </c>
      <c r="AM42" s="58">
        <v>1</v>
      </c>
      <c r="AN42" s="58">
        <v>1</v>
      </c>
      <c r="AO42" s="58">
        <v>0.94117647058823495</v>
      </c>
      <c r="AP42" s="58">
        <v>0.98750000000000004</v>
      </c>
      <c r="AQ42" s="58">
        <v>0.105263157894737</v>
      </c>
      <c r="AR42" s="58">
        <v>1.4705882352941201E-2</v>
      </c>
      <c r="AS42" s="58">
        <v>0.38775510204081598</v>
      </c>
      <c r="AT42" s="58">
        <v>0.140350877192982</v>
      </c>
      <c r="AU42" s="58">
        <v>0</v>
      </c>
      <c r="AV42" s="58">
        <v>0.27027027027027001</v>
      </c>
      <c r="AW42" s="58">
        <v>0.33333333333333298</v>
      </c>
      <c r="AX42" s="58">
        <v>0.33333333333333298</v>
      </c>
      <c r="AY42" s="58">
        <v>0</v>
      </c>
      <c r="AZ42" s="58">
        <v>0.5</v>
      </c>
      <c r="BA42" s="58">
        <v>0.33333333333333298</v>
      </c>
      <c r="BB42" s="58">
        <v>0.2</v>
      </c>
      <c r="BC42" s="58">
        <v>0.34317434210526299</v>
      </c>
      <c r="BD42" s="58">
        <v>0.35379337470500799</v>
      </c>
      <c r="BE42" s="58">
        <v>0.405291255575078</v>
      </c>
      <c r="BF42" s="58">
        <v>0.201836622807018</v>
      </c>
      <c r="BG42" s="58">
        <v>0.22354694485842</v>
      </c>
      <c r="BH42" s="58">
        <v>0.242692692692693</v>
      </c>
      <c r="BI42" s="58" t="s">
        <v>152</v>
      </c>
      <c r="BJ42" s="58" t="s">
        <v>2</v>
      </c>
      <c r="BK42" s="58">
        <v>0.51319999999999999</v>
      </c>
      <c r="BL42" s="58">
        <v>0.15709999999999999</v>
      </c>
      <c r="BM42" s="58">
        <v>1.54E-2</v>
      </c>
      <c r="BN42" s="58">
        <v>0.4516</v>
      </c>
      <c r="BO42" s="58">
        <v>3.2300000000000002E-2</v>
      </c>
      <c r="BP42" s="58">
        <v>1</v>
      </c>
      <c r="BQ42" s="58">
        <v>0.66669999999999996</v>
      </c>
      <c r="BR42" s="58">
        <v>3.3300000000000003E-2</v>
      </c>
      <c r="BS42" s="58">
        <v>0</v>
      </c>
      <c r="BT42" s="58">
        <v>0</v>
      </c>
      <c r="BU42" s="58">
        <v>0</v>
      </c>
      <c r="BV42" s="58" t="s">
        <v>23</v>
      </c>
      <c r="BW42" s="58">
        <v>0.78720000000000001</v>
      </c>
      <c r="BX42" s="58">
        <v>0.52939999999999998</v>
      </c>
      <c r="BY42" s="58">
        <v>0.77080000000000004</v>
      </c>
      <c r="BZ42" s="58">
        <v>0.43140000000000001</v>
      </c>
      <c r="CA42" s="58">
        <v>0.81820000000000004</v>
      </c>
      <c r="CB42" s="58">
        <v>0.64710000000000001</v>
      </c>
      <c r="CC42" s="58">
        <v>1</v>
      </c>
      <c r="CD42" s="85" t="s">
        <v>2</v>
      </c>
      <c r="CE42" s="85" t="s">
        <v>2</v>
      </c>
      <c r="CF42" s="58">
        <v>0.98509999999999998</v>
      </c>
      <c r="CG42" s="58">
        <v>1</v>
      </c>
      <c r="CH42" s="58">
        <v>1</v>
      </c>
      <c r="CI42" s="58">
        <v>0.36359999999999998</v>
      </c>
      <c r="CJ42" s="58">
        <v>0.63639999999999997</v>
      </c>
      <c r="CK42" s="58">
        <v>0.72729999999999995</v>
      </c>
      <c r="CL42" s="60">
        <v>27</v>
      </c>
      <c r="CM42" s="61">
        <v>42</v>
      </c>
      <c r="CN42" s="4"/>
    </row>
    <row r="43" spans="1:92" x14ac:dyDescent="0.25">
      <c r="A43" s="1" t="s">
        <v>61</v>
      </c>
      <c r="B43" s="2" t="s">
        <v>192</v>
      </c>
      <c r="C43" s="2" t="s">
        <v>260</v>
      </c>
      <c r="D43" s="2" t="s">
        <v>153</v>
      </c>
      <c r="E43" s="3">
        <v>29692</v>
      </c>
      <c r="F43" s="59">
        <v>3</v>
      </c>
      <c r="G43" s="59">
        <v>3</v>
      </c>
      <c r="H43" s="59">
        <v>3</v>
      </c>
      <c r="I43" s="59">
        <v>3</v>
      </c>
      <c r="J43" s="59">
        <v>3</v>
      </c>
      <c r="K43" s="59">
        <v>3</v>
      </c>
      <c r="L43" s="59">
        <v>3</v>
      </c>
      <c r="M43" s="59">
        <v>0</v>
      </c>
      <c r="N43" s="58">
        <v>0.66669999999999996</v>
      </c>
      <c r="O43" s="58">
        <v>0</v>
      </c>
      <c r="P43" s="59">
        <v>0</v>
      </c>
      <c r="Q43" s="58">
        <v>0.21049999999999999</v>
      </c>
      <c r="R43" s="58">
        <v>0.05</v>
      </c>
      <c r="S43" s="59">
        <v>3</v>
      </c>
      <c r="T43" s="58">
        <v>0</v>
      </c>
      <c r="U43" s="58">
        <v>0.15</v>
      </c>
      <c r="V43" s="59">
        <v>3</v>
      </c>
      <c r="W43" s="58">
        <v>0.1227</v>
      </c>
      <c r="X43" s="58">
        <v>9.4899999999999998E-2</v>
      </c>
      <c r="Y43" s="59">
        <v>0</v>
      </c>
      <c r="Z43" s="58">
        <v>0.4</v>
      </c>
      <c r="AA43" s="58">
        <v>0.57140000000000002</v>
      </c>
      <c r="AB43" s="59">
        <v>0</v>
      </c>
      <c r="AC43" s="58">
        <v>0.1104</v>
      </c>
      <c r="AD43" s="58">
        <v>0.15890000000000001</v>
      </c>
      <c r="AE43" s="59">
        <v>1</v>
      </c>
      <c r="AF43" s="58">
        <v>9.0999999999999998E-2</v>
      </c>
      <c r="AG43" s="58">
        <v>0.27300000000000002</v>
      </c>
      <c r="AH43" s="72"/>
      <c r="AI43" s="58">
        <v>0.66669999999999996</v>
      </c>
      <c r="AJ43" s="58">
        <v>0.33329999999999999</v>
      </c>
      <c r="AK43" s="58">
        <v>1</v>
      </c>
      <c r="AL43" s="58">
        <v>1</v>
      </c>
      <c r="AM43" s="58">
        <v>0.83333333333333304</v>
      </c>
      <c r="AN43" s="58">
        <v>1</v>
      </c>
      <c r="AO43" s="58">
        <v>1</v>
      </c>
      <c r="AP43" s="58">
        <v>0.84615384615384603</v>
      </c>
      <c r="AQ43" s="58">
        <v>5.8823529411764698E-2</v>
      </c>
      <c r="AR43" s="58">
        <v>0</v>
      </c>
      <c r="AS43" s="58">
        <v>0.6</v>
      </c>
      <c r="AT43" s="58">
        <v>0.11764705882352899</v>
      </c>
      <c r="AU43" s="58">
        <v>0.33333333333333298</v>
      </c>
      <c r="AV43" s="58">
        <v>0.18181818181818199</v>
      </c>
      <c r="AW43" s="58">
        <v>0</v>
      </c>
      <c r="AX43" s="58">
        <v>1</v>
      </c>
      <c r="AY43" s="58" t="s">
        <v>23</v>
      </c>
      <c r="AZ43" s="58">
        <v>0</v>
      </c>
      <c r="BA43" s="58">
        <v>0.5</v>
      </c>
      <c r="BB43" s="58" t="s">
        <v>23</v>
      </c>
      <c r="BC43" s="58">
        <v>0.270290394638868</v>
      </c>
      <c r="BD43" s="58">
        <v>0.492307692307692</v>
      </c>
      <c r="BE43" s="58">
        <v>0.29230769230769199</v>
      </c>
      <c r="BF43" s="58">
        <v>0.22412509307520501</v>
      </c>
      <c r="BG43" s="58">
        <v>6.6666666666666693E-2</v>
      </c>
      <c r="BH43" s="58">
        <v>0.163636363636364</v>
      </c>
      <c r="BI43" s="58" t="s">
        <v>2</v>
      </c>
      <c r="BJ43" s="58" t="s">
        <v>2</v>
      </c>
      <c r="BK43" s="58">
        <v>0.63500000000000001</v>
      </c>
      <c r="BL43" s="58">
        <v>9.4899999999999998E-2</v>
      </c>
      <c r="BM43" s="58">
        <v>7.3000000000000001E-3</v>
      </c>
      <c r="BN43" s="58" t="s">
        <v>23</v>
      </c>
      <c r="BO43" s="58">
        <v>1</v>
      </c>
      <c r="BP43" s="58">
        <v>1</v>
      </c>
      <c r="BQ43" s="58">
        <v>0.25</v>
      </c>
      <c r="BR43" s="58">
        <v>0.5</v>
      </c>
      <c r="BS43" s="58" t="s">
        <v>23</v>
      </c>
      <c r="BT43" s="58" t="s">
        <v>23</v>
      </c>
      <c r="BU43" s="58" t="s">
        <v>23</v>
      </c>
      <c r="BV43" s="58" t="s">
        <v>23</v>
      </c>
      <c r="BW43" s="58">
        <v>1</v>
      </c>
      <c r="BX43" s="58">
        <v>0.3478</v>
      </c>
      <c r="BY43" s="58">
        <v>0.95240000000000002</v>
      </c>
      <c r="BZ43" s="58">
        <v>0.52170000000000005</v>
      </c>
      <c r="CA43" s="58">
        <v>0.9</v>
      </c>
      <c r="CB43" s="58">
        <v>0.6522</v>
      </c>
      <c r="CC43" s="58">
        <v>1</v>
      </c>
      <c r="CD43" s="85" t="s">
        <v>2</v>
      </c>
      <c r="CE43" s="85" t="s">
        <v>2</v>
      </c>
      <c r="CF43" s="58">
        <v>1</v>
      </c>
      <c r="CG43" s="58">
        <v>1</v>
      </c>
      <c r="CH43" s="58">
        <v>1</v>
      </c>
      <c r="CI43" s="58">
        <v>0.5</v>
      </c>
      <c r="CJ43" s="58">
        <v>1</v>
      </c>
      <c r="CK43" s="58">
        <v>1</v>
      </c>
      <c r="CL43" s="60">
        <v>28</v>
      </c>
      <c r="CM43" s="61">
        <v>42</v>
      </c>
      <c r="CN43" s="4"/>
    </row>
    <row r="44" spans="1:92" x14ac:dyDescent="0.25">
      <c r="A44" s="1" t="s">
        <v>62</v>
      </c>
      <c r="B44" s="2" t="s">
        <v>193</v>
      </c>
      <c r="C44" s="2" t="s">
        <v>261</v>
      </c>
      <c r="D44" s="2" t="s">
        <v>153</v>
      </c>
      <c r="E44" s="3">
        <v>29666</v>
      </c>
      <c r="F44" s="59">
        <v>3</v>
      </c>
      <c r="G44" s="59">
        <v>3</v>
      </c>
      <c r="H44" s="59">
        <v>3</v>
      </c>
      <c r="I44" s="59">
        <v>3</v>
      </c>
      <c r="J44" s="59">
        <v>3</v>
      </c>
      <c r="K44" s="59">
        <v>3</v>
      </c>
      <c r="L44" s="59">
        <v>3</v>
      </c>
      <c r="M44" s="59">
        <v>0</v>
      </c>
      <c r="N44" s="58">
        <v>0.77780000000000005</v>
      </c>
      <c r="O44" s="58">
        <v>0.25</v>
      </c>
      <c r="P44" s="59">
        <v>3</v>
      </c>
      <c r="Q44" s="58">
        <v>0.125</v>
      </c>
      <c r="R44" s="58">
        <v>0.15790000000000001</v>
      </c>
      <c r="S44" s="59">
        <v>3</v>
      </c>
      <c r="T44" s="58">
        <v>0.21879999999999999</v>
      </c>
      <c r="U44" s="58">
        <v>0.21049999999999999</v>
      </c>
      <c r="V44" s="59">
        <v>3</v>
      </c>
      <c r="W44" s="58">
        <v>9.2499999999999999E-2</v>
      </c>
      <c r="X44" s="58">
        <v>0.1011</v>
      </c>
      <c r="Y44" s="59">
        <v>0</v>
      </c>
      <c r="Z44" s="58">
        <v>0.5</v>
      </c>
      <c r="AA44" s="58">
        <v>0.875</v>
      </c>
      <c r="AB44" s="59">
        <v>0</v>
      </c>
      <c r="AC44" s="58">
        <v>7.51E-2</v>
      </c>
      <c r="AD44" s="58">
        <v>0.22040000000000001</v>
      </c>
      <c r="AE44" s="59">
        <v>3</v>
      </c>
      <c r="AF44" s="58">
        <v>0.25</v>
      </c>
      <c r="AG44" s="58">
        <v>0.38500000000000001</v>
      </c>
      <c r="AH44" s="72"/>
      <c r="AI44" s="58">
        <v>0.77780000000000005</v>
      </c>
      <c r="AJ44" s="58">
        <v>0.22220000000000001</v>
      </c>
      <c r="AK44" s="58">
        <v>1</v>
      </c>
      <c r="AL44" s="58">
        <v>1</v>
      </c>
      <c r="AM44" s="58">
        <v>1</v>
      </c>
      <c r="AN44" s="58">
        <v>1</v>
      </c>
      <c r="AO44" s="58">
        <v>1</v>
      </c>
      <c r="AP44" s="58">
        <v>1</v>
      </c>
      <c r="AQ44" s="58">
        <v>0.22727272727272699</v>
      </c>
      <c r="AR44" s="58">
        <v>6.25E-2</v>
      </c>
      <c r="AS44" s="58">
        <v>0.33333333333333298</v>
      </c>
      <c r="AT44" s="58">
        <v>0.36363636363636398</v>
      </c>
      <c r="AU44" s="58">
        <v>0</v>
      </c>
      <c r="AV44" s="58">
        <v>0.1875</v>
      </c>
      <c r="AW44" s="58" t="s">
        <v>23</v>
      </c>
      <c r="AX44" s="58" t="s">
        <v>23</v>
      </c>
      <c r="AY44" s="58" t="s">
        <v>23</v>
      </c>
      <c r="AZ44" s="58" t="s">
        <v>23</v>
      </c>
      <c r="BA44" s="58" t="s">
        <v>23</v>
      </c>
      <c r="BB44" s="58">
        <v>1</v>
      </c>
      <c r="BC44" s="58">
        <v>0.38479623824451398</v>
      </c>
      <c r="BD44" s="58">
        <v>0.413690476190476</v>
      </c>
      <c r="BE44" s="58">
        <v>0.50833333333333297</v>
      </c>
      <c r="BF44" s="58">
        <v>0.31739811912225702</v>
      </c>
      <c r="BG44" s="58">
        <v>0.27777777777777801</v>
      </c>
      <c r="BH44" s="58">
        <v>0.39510869565217399</v>
      </c>
      <c r="BI44" s="58" t="s">
        <v>2</v>
      </c>
      <c r="BJ44" s="58" t="s">
        <v>2</v>
      </c>
      <c r="BK44" s="58">
        <v>0.57869999999999999</v>
      </c>
      <c r="BL44" s="58">
        <v>0.1011</v>
      </c>
      <c r="BM44" s="58">
        <v>1.12E-2</v>
      </c>
      <c r="BN44" s="58" t="s">
        <v>23</v>
      </c>
      <c r="BO44" s="58">
        <v>1</v>
      </c>
      <c r="BP44" s="58">
        <v>1</v>
      </c>
      <c r="BQ44" s="58" t="s">
        <v>23</v>
      </c>
      <c r="BR44" s="58">
        <v>1</v>
      </c>
      <c r="BS44" s="58" t="s">
        <v>23</v>
      </c>
      <c r="BT44" s="58" t="s">
        <v>23</v>
      </c>
      <c r="BU44" s="58" t="s">
        <v>23</v>
      </c>
      <c r="BV44" s="58" t="s">
        <v>23</v>
      </c>
      <c r="BW44" s="58">
        <v>0.66669999999999996</v>
      </c>
      <c r="BX44" s="58">
        <v>0.375</v>
      </c>
      <c r="BY44" s="58">
        <v>1</v>
      </c>
      <c r="BZ44" s="58">
        <v>0.75</v>
      </c>
      <c r="CA44" s="58">
        <v>1</v>
      </c>
      <c r="CB44" s="58">
        <v>0.625</v>
      </c>
      <c r="CC44" s="58">
        <v>1</v>
      </c>
      <c r="CD44" s="85" t="s">
        <v>2</v>
      </c>
      <c r="CE44" s="85" t="s">
        <v>2</v>
      </c>
      <c r="CF44" s="58">
        <v>1</v>
      </c>
      <c r="CG44" s="58">
        <v>1</v>
      </c>
      <c r="CH44" s="58">
        <v>1</v>
      </c>
      <c r="CI44" s="58">
        <v>0</v>
      </c>
      <c r="CJ44" s="58">
        <v>0</v>
      </c>
      <c r="CK44" s="58">
        <v>0</v>
      </c>
      <c r="CL44" s="60">
        <v>33</v>
      </c>
      <c r="CM44" s="61">
        <v>42</v>
      </c>
      <c r="CN44" s="4"/>
    </row>
    <row r="45" spans="1:92" x14ac:dyDescent="0.25">
      <c r="A45" s="1" t="s">
        <v>455</v>
      </c>
      <c r="B45" s="2" t="s">
        <v>462</v>
      </c>
      <c r="C45" s="2" t="s">
        <v>262</v>
      </c>
      <c r="D45" s="2" t="s">
        <v>153</v>
      </c>
      <c r="E45" s="3">
        <v>29944</v>
      </c>
      <c r="F45" s="59">
        <v>3</v>
      </c>
      <c r="G45" s="59">
        <v>3</v>
      </c>
      <c r="H45" s="59">
        <v>3</v>
      </c>
      <c r="I45" s="59">
        <v>3</v>
      </c>
      <c r="J45" s="59">
        <v>1</v>
      </c>
      <c r="K45" s="59">
        <v>3</v>
      </c>
      <c r="L45" s="59">
        <v>3</v>
      </c>
      <c r="M45" s="59">
        <v>3</v>
      </c>
      <c r="N45" s="58">
        <v>0.33329999999999999</v>
      </c>
      <c r="O45" s="58">
        <v>0.7</v>
      </c>
      <c r="P45" s="59">
        <v>2</v>
      </c>
      <c r="Q45" s="58" t="s">
        <v>23</v>
      </c>
      <c r="R45" s="58">
        <v>0.13950000000000001</v>
      </c>
      <c r="S45" s="59">
        <v>3</v>
      </c>
      <c r="T45" s="58" t="s">
        <v>23</v>
      </c>
      <c r="U45" s="58">
        <v>0.1905</v>
      </c>
      <c r="V45" s="59">
        <v>3</v>
      </c>
      <c r="W45" s="58">
        <v>0.13519999999999999</v>
      </c>
      <c r="X45" s="58">
        <v>0.13739999999999999</v>
      </c>
      <c r="Y45" s="59">
        <v>3</v>
      </c>
      <c r="Z45" s="58">
        <v>0</v>
      </c>
      <c r="AA45" s="58">
        <v>0.13039999999999999</v>
      </c>
      <c r="AB45" s="59">
        <v>2</v>
      </c>
      <c r="AC45" s="58">
        <v>0.10680000000000001</v>
      </c>
      <c r="AD45" s="58">
        <v>0.1404</v>
      </c>
      <c r="AE45" s="59">
        <v>0</v>
      </c>
      <c r="AF45" s="58">
        <v>0.66700000000000004</v>
      </c>
      <c r="AG45" s="58">
        <v>0.28599999999999998</v>
      </c>
      <c r="AH45" s="72"/>
      <c r="AI45" s="58">
        <v>0.33329999999999999</v>
      </c>
      <c r="AJ45" s="58">
        <v>0.4667</v>
      </c>
      <c r="AK45" s="58">
        <v>0.96153846153846201</v>
      </c>
      <c r="AL45" s="58">
        <v>1</v>
      </c>
      <c r="AM45" s="58">
        <v>1</v>
      </c>
      <c r="AN45" s="58">
        <v>1</v>
      </c>
      <c r="AO45" s="58">
        <v>0.90909090909090895</v>
      </c>
      <c r="AP45" s="58">
        <v>0.91666666666666696</v>
      </c>
      <c r="AQ45" s="58">
        <v>0.16666666666666699</v>
      </c>
      <c r="AR45" s="58">
        <v>0.105263157894737</v>
      </c>
      <c r="AS45" s="58">
        <v>0.45454545454545497</v>
      </c>
      <c r="AT45" s="58">
        <v>0.24</v>
      </c>
      <c r="AU45" s="58">
        <v>0.11764705882352899</v>
      </c>
      <c r="AV45" s="58">
        <v>0</v>
      </c>
      <c r="AW45" s="58">
        <v>0</v>
      </c>
      <c r="AX45" s="58">
        <v>0.66666666666666696</v>
      </c>
      <c r="AY45" s="58" t="s">
        <v>23</v>
      </c>
      <c r="AZ45" s="58">
        <v>0</v>
      </c>
      <c r="BA45" s="58">
        <v>0.33333333333333298</v>
      </c>
      <c r="BB45" s="58" t="s">
        <v>23</v>
      </c>
      <c r="BC45" s="58">
        <v>0.233333333333333</v>
      </c>
      <c r="BD45" s="58">
        <v>0.26632154155881499</v>
      </c>
      <c r="BE45" s="58">
        <v>0.32262845849802402</v>
      </c>
      <c r="BF45" s="58">
        <v>4.90173410404625E-2</v>
      </c>
      <c r="BG45" s="58">
        <v>0.15763384005287501</v>
      </c>
      <c r="BH45" s="58">
        <v>0.41899441340782101</v>
      </c>
      <c r="BI45" s="58" t="s">
        <v>23</v>
      </c>
      <c r="BJ45" s="58" t="s">
        <v>23</v>
      </c>
      <c r="BK45" s="58">
        <v>0.70230000000000004</v>
      </c>
      <c r="BL45" s="58">
        <v>0.13739999999999999</v>
      </c>
      <c r="BM45" s="58">
        <v>0</v>
      </c>
      <c r="BN45" s="58">
        <v>0.5</v>
      </c>
      <c r="BO45" s="58">
        <v>0.33329999999999999</v>
      </c>
      <c r="BP45" s="58" t="s">
        <v>23</v>
      </c>
      <c r="BQ45" s="58">
        <v>0.84619999999999995</v>
      </c>
      <c r="BR45" s="58">
        <v>7.6899999999999996E-2</v>
      </c>
      <c r="BS45" s="58">
        <v>7.6899999999999996E-2</v>
      </c>
      <c r="BT45" s="58" t="s">
        <v>23</v>
      </c>
      <c r="BU45" s="58">
        <v>7.6899999999999996E-2</v>
      </c>
      <c r="BV45" s="58">
        <v>0.25</v>
      </c>
      <c r="BW45" s="58">
        <v>1</v>
      </c>
      <c r="BX45" s="58">
        <v>0.90910000000000002</v>
      </c>
      <c r="BY45" s="58">
        <v>0.85709999999999997</v>
      </c>
      <c r="BZ45" s="58">
        <v>0.72729999999999995</v>
      </c>
      <c r="CA45" s="58">
        <v>1</v>
      </c>
      <c r="CB45" s="58">
        <v>0.90910000000000002</v>
      </c>
      <c r="CC45" s="58">
        <v>1</v>
      </c>
      <c r="CD45" s="85" t="s">
        <v>2</v>
      </c>
      <c r="CE45" s="85" t="s">
        <v>2</v>
      </c>
      <c r="CF45" s="58">
        <v>0.9718</v>
      </c>
      <c r="CG45" s="58">
        <v>0.66669999999999996</v>
      </c>
      <c r="CH45" s="58">
        <v>1</v>
      </c>
      <c r="CI45" s="58" t="s">
        <v>23</v>
      </c>
      <c r="CJ45" s="58" t="s">
        <v>23</v>
      </c>
      <c r="CK45" s="58" t="s">
        <v>23</v>
      </c>
      <c r="CL45" s="60">
        <v>35</v>
      </c>
      <c r="CM45" s="61">
        <v>43</v>
      </c>
      <c r="CN45" s="4"/>
    </row>
    <row r="46" spans="1:92" x14ac:dyDescent="0.25">
      <c r="A46" s="1" t="s">
        <v>63</v>
      </c>
      <c r="B46" s="2" t="s">
        <v>194</v>
      </c>
      <c r="C46" s="2" t="s">
        <v>263</v>
      </c>
      <c r="D46" s="2" t="s">
        <v>153</v>
      </c>
      <c r="E46" s="3">
        <v>29526</v>
      </c>
      <c r="F46" s="59">
        <v>3</v>
      </c>
      <c r="G46" s="59">
        <v>3</v>
      </c>
      <c r="H46" s="59">
        <v>3</v>
      </c>
      <c r="I46" s="59">
        <v>3</v>
      </c>
      <c r="J46" s="59">
        <v>2</v>
      </c>
      <c r="K46" s="59">
        <v>3</v>
      </c>
      <c r="L46" s="59">
        <v>3</v>
      </c>
      <c r="M46" s="59">
        <v>2</v>
      </c>
      <c r="N46" s="58">
        <v>0.39479999999999998</v>
      </c>
      <c r="O46" s="58">
        <v>0.55930000000000002</v>
      </c>
      <c r="P46" s="59">
        <v>3</v>
      </c>
      <c r="Q46" s="58">
        <v>0.14330000000000001</v>
      </c>
      <c r="R46" s="58">
        <v>0.14649999999999999</v>
      </c>
      <c r="S46" s="59">
        <v>2</v>
      </c>
      <c r="T46" s="58">
        <v>0.14330000000000001</v>
      </c>
      <c r="U46" s="58">
        <v>0.12139999999999999</v>
      </c>
      <c r="V46" s="59">
        <v>2</v>
      </c>
      <c r="W46" s="58">
        <v>0.15959999999999999</v>
      </c>
      <c r="X46" s="58">
        <v>0.14680000000000001</v>
      </c>
      <c r="Y46" s="59">
        <v>3</v>
      </c>
      <c r="Z46" s="58">
        <v>0</v>
      </c>
      <c r="AA46" s="58">
        <v>0</v>
      </c>
      <c r="AB46" s="59">
        <v>0</v>
      </c>
      <c r="AC46" s="58">
        <v>8.9399999999999993E-2</v>
      </c>
      <c r="AD46" s="58">
        <v>0.21690000000000001</v>
      </c>
      <c r="AE46" s="59">
        <v>3</v>
      </c>
      <c r="AF46" s="58">
        <v>0.222</v>
      </c>
      <c r="AG46" s="58">
        <v>0.36899999999999999</v>
      </c>
      <c r="AH46" s="72"/>
      <c r="AI46" s="58">
        <v>0.39479999999999998</v>
      </c>
      <c r="AJ46" s="58">
        <v>0.34989999999999999</v>
      </c>
      <c r="AK46" s="58">
        <v>0.98514851485148502</v>
      </c>
      <c r="AL46" s="58">
        <v>0.97001763668430296</v>
      </c>
      <c r="AM46" s="58">
        <v>0.96747967479674801</v>
      </c>
      <c r="AN46" s="58">
        <v>0.98679867986798697</v>
      </c>
      <c r="AO46" s="58">
        <v>0.96825396825396803</v>
      </c>
      <c r="AP46" s="58">
        <v>0.96917808219178103</v>
      </c>
      <c r="AQ46" s="58">
        <v>0.19892473118279599</v>
      </c>
      <c r="AR46" s="58">
        <v>8.9494163424124501E-2</v>
      </c>
      <c r="AS46" s="58">
        <v>0.554112554112554</v>
      </c>
      <c r="AT46" s="58">
        <v>0.191413237924866</v>
      </c>
      <c r="AU46" s="58">
        <v>4.4921875E-2</v>
      </c>
      <c r="AV46" s="58">
        <v>0.483539094650206</v>
      </c>
      <c r="AW46" s="58">
        <v>0.487179487179487</v>
      </c>
      <c r="AX46" s="58">
        <v>0.33333333333333298</v>
      </c>
      <c r="AY46" s="58">
        <v>0.28571428571428598</v>
      </c>
      <c r="AZ46" s="58">
        <v>0.256410256410256</v>
      </c>
      <c r="BA46" s="58">
        <v>0.40540540540540498</v>
      </c>
      <c r="BB46" s="58">
        <v>0.4</v>
      </c>
      <c r="BC46" s="58">
        <v>0.35647259151728999</v>
      </c>
      <c r="BD46" s="58">
        <v>0.40730241959776498</v>
      </c>
      <c r="BE46" s="58">
        <v>0.32165719153671002</v>
      </c>
      <c r="BF46" s="58">
        <v>0.30445453067017503</v>
      </c>
      <c r="BG46" s="58">
        <v>0.32483500450841601</v>
      </c>
      <c r="BH46" s="58">
        <v>0.21286878483994501</v>
      </c>
      <c r="BI46" s="58" t="s">
        <v>2</v>
      </c>
      <c r="BJ46" s="58" t="s">
        <v>2</v>
      </c>
      <c r="BK46" s="58">
        <v>0.53269999999999995</v>
      </c>
      <c r="BL46" s="58">
        <v>0.14680000000000001</v>
      </c>
      <c r="BM46" s="58">
        <v>9.7000000000000003E-3</v>
      </c>
      <c r="BN46" s="58">
        <v>0.18179999999999999</v>
      </c>
      <c r="BO46" s="58">
        <v>0</v>
      </c>
      <c r="BP46" s="58">
        <v>0.40300000000000002</v>
      </c>
      <c r="BQ46" s="58">
        <v>0.41670000000000001</v>
      </c>
      <c r="BR46" s="58">
        <v>0</v>
      </c>
      <c r="BS46" s="58">
        <v>9.2999999999999992E-3</v>
      </c>
      <c r="BT46" s="58">
        <v>6.1000000000000004E-3</v>
      </c>
      <c r="BU46" s="58">
        <v>9.2999999999999992E-3</v>
      </c>
      <c r="BV46" s="58">
        <v>0</v>
      </c>
      <c r="BW46" s="58">
        <v>0.89580000000000004</v>
      </c>
      <c r="BX46" s="58">
        <v>0.50539999999999996</v>
      </c>
      <c r="BY46" s="58">
        <v>0.90259999999999996</v>
      </c>
      <c r="BZ46" s="58">
        <v>0.52939999999999998</v>
      </c>
      <c r="CA46" s="58">
        <v>0.93159999999999998</v>
      </c>
      <c r="CB46" s="58">
        <v>0.64049999999999996</v>
      </c>
      <c r="CC46" s="58">
        <v>1</v>
      </c>
      <c r="CD46" s="85" t="s">
        <v>2</v>
      </c>
      <c r="CE46" s="85" t="s">
        <v>2</v>
      </c>
      <c r="CF46" s="58">
        <v>0.99850000000000005</v>
      </c>
      <c r="CG46" s="58">
        <v>1</v>
      </c>
      <c r="CH46" s="58">
        <v>1</v>
      </c>
      <c r="CI46" s="58">
        <v>0.19420000000000001</v>
      </c>
      <c r="CJ46" s="58">
        <v>0.63109999999999999</v>
      </c>
      <c r="CK46" s="58">
        <v>0.67959999999999998</v>
      </c>
      <c r="CL46" s="60">
        <v>35</v>
      </c>
      <c r="CM46" s="61">
        <v>42</v>
      </c>
      <c r="CN46" s="4"/>
    </row>
    <row r="47" spans="1:92" x14ac:dyDescent="0.25">
      <c r="A47" s="1" t="s">
        <v>64</v>
      </c>
      <c r="B47" s="2" t="s">
        <v>195</v>
      </c>
      <c r="C47" s="2" t="s">
        <v>264</v>
      </c>
      <c r="D47" s="2" t="s">
        <v>153</v>
      </c>
      <c r="E47" s="3">
        <v>29936</v>
      </c>
      <c r="F47" s="59">
        <v>3</v>
      </c>
      <c r="G47" s="59">
        <v>3</v>
      </c>
      <c r="H47" s="59">
        <v>3</v>
      </c>
      <c r="I47" s="59">
        <v>3</v>
      </c>
      <c r="J47" s="59">
        <v>3</v>
      </c>
      <c r="K47" s="59">
        <v>3</v>
      </c>
      <c r="L47" s="59">
        <v>3</v>
      </c>
      <c r="M47" s="59">
        <v>3</v>
      </c>
      <c r="N47" s="58">
        <v>0</v>
      </c>
      <c r="O47" s="58">
        <v>0.83330000000000004</v>
      </c>
      <c r="P47" s="59">
        <v>1</v>
      </c>
      <c r="Q47" s="58">
        <v>0</v>
      </c>
      <c r="R47" s="58">
        <v>0.1071</v>
      </c>
      <c r="S47" s="59">
        <v>0</v>
      </c>
      <c r="T47" s="58">
        <v>0</v>
      </c>
      <c r="U47" s="58">
        <v>0</v>
      </c>
      <c r="V47" s="59">
        <v>1</v>
      </c>
      <c r="W47" s="58">
        <v>0.20250000000000001</v>
      </c>
      <c r="X47" s="58">
        <v>0.17649999999999999</v>
      </c>
      <c r="Y47" s="59">
        <v>3</v>
      </c>
      <c r="Z47" s="58">
        <v>0.66669999999999996</v>
      </c>
      <c r="AA47" s="58">
        <v>0.27779999999999999</v>
      </c>
      <c r="AB47" s="59">
        <v>3</v>
      </c>
      <c r="AC47" s="58">
        <v>2.07E-2</v>
      </c>
      <c r="AD47" s="58">
        <v>8.2000000000000003E-2</v>
      </c>
      <c r="AE47" s="59">
        <v>3</v>
      </c>
      <c r="AF47" s="58">
        <v>0.17599999999999999</v>
      </c>
      <c r="AG47" s="58">
        <v>0.42899999999999999</v>
      </c>
      <c r="AH47" s="72"/>
      <c r="AI47" s="58">
        <v>0</v>
      </c>
      <c r="AJ47" s="58">
        <v>1</v>
      </c>
      <c r="AK47" s="58">
        <v>1</v>
      </c>
      <c r="AL47" s="58">
        <v>0.88235294117647101</v>
      </c>
      <c r="AM47" s="58">
        <v>0.77777777777777801</v>
      </c>
      <c r="AN47" s="58">
        <v>1</v>
      </c>
      <c r="AO47" s="58">
        <v>0.82352941176470595</v>
      </c>
      <c r="AP47" s="58">
        <v>0.83333333333333304</v>
      </c>
      <c r="AQ47" s="58">
        <v>0.16666666666666699</v>
      </c>
      <c r="AR47" s="58">
        <v>0</v>
      </c>
      <c r="AS47" s="58">
        <v>0.4</v>
      </c>
      <c r="AT47" s="58">
        <v>0</v>
      </c>
      <c r="AU47" s="58">
        <v>0</v>
      </c>
      <c r="AV47" s="58">
        <v>0.15384615384615399</v>
      </c>
      <c r="AW47" s="58">
        <v>0.66666666666666696</v>
      </c>
      <c r="AX47" s="58">
        <v>0.4</v>
      </c>
      <c r="AY47" s="58">
        <v>0.5</v>
      </c>
      <c r="AZ47" s="58">
        <v>0.33333333333333298</v>
      </c>
      <c r="BA47" s="58">
        <v>1</v>
      </c>
      <c r="BB47" s="58">
        <v>0.5</v>
      </c>
      <c r="BC47" s="58">
        <v>3.7313432835820899E-2</v>
      </c>
      <c r="BD47" s="58">
        <v>0.251461988304094</v>
      </c>
      <c r="BE47" s="58">
        <v>0.25</v>
      </c>
      <c r="BF47" s="58">
        <v>0.11764705882352899</v>
      </c>
      <c r="BG47" s="58">
        <v>0.111764705882353</v>
      </c>
      <c r="BH47" s="58">
        <v>0.13531047265987001</v>
      </c>
      <c r="BI47" s="58" t="s">
        <v>2</v>
      </c>
      <c r="BJ47" s="58" t="s">
        <v>2</v>
      </c>
      <c r="BK47" s="58">
        <v>0.56720000000000004</v>
      </c>
      <c r="BL47" s="58">
        <v>0.17649999999999999</v>
      </c>
      <c r="BM47" s="58">
        <v>2.1000000000000001E-2</v>
      </c>
      <c r="BN47" s="58">
        <v>0.36359999999999998</v>
      </c>
      <c r="BO47" s="58">
        <v>0.45450000000000002</v>
      </c>
      <c r="BP47" s="58">
        <v>1</v>
      </c>
      <c r="BQ47" s="58">
        <v>1</v>
      </c>
      <c r="BR47" s="58" t="s">
        <v>23</v>
      </c>
      <c r="BS47" s="58" t="s">
        <v>23</v>
      </c>
      <c r="BT47" s="58">
        <v>0</v>
      </c>
      <c r="BU47" s="58" t="s">
        <v>23</v>
      </c>
      <c r="BV47" s="58" t="s">
        <v>23</v>
      </c>
      <c r="BW47" s="58">
        <v>0.95240000000000002</v>
      </c>
      <c r="BX47" s="58">
        <v>0.4783</v>
      </c>
      <c r="BY47" s="58">
        <v>0.90480000000000005</v>
      </c>
      <c r="BZ47" s="58">
        <v>0.39129999999999998</v>
      </c>
      <c r="CA47" s="58">
        <v>0.9</v>
      </c>
      <c r="CB47" s="58">
        <v>0.56520000000000004</v>
      </c>
      <c r="CC47" s="58">
        <v>1</v>
      </c>
      <c r="CD47" s="85" t="s">
        <v>2</v>
      </c>
      <c r="CE47" s="85" t="s">
        <v>2</v>
      </c>
      <c r="CF47" s="58">
        <v>1</v>
      </c>
      <c r="CG47" s="58">
        <v>1</v>
      </c>
      <c r="CH47" s="58">
        <v>1</v>
      </c>
      <c r="CI47" s="58">
        <v>0</v>
      </c>
      <c r="CJ47" s="58">
        <v>0</v>
      </c>
      <c r="CK47" s="58">
        <v>0</v>
      </c>
      <c r="CL47" s="60">
        <v>35</v>
      </c>
      <c r="CM47" s="61">
        <v>42</v>
      </c>
      <c r="CN47" s="4"/>
    </row>
    <row r="48" spans="1:92" x14ac:dyDescent="0.25">
      <c r="A48" s="1" t="s">
        <v>65</v>
      </c>
      <c r="B48" s="2" t="s">
        <v>196</v>
      </c>
      <c r="C48" s="2" t="s">
        <v>265</v>
      </c>
      <c r="D48" s="2" t="s">
        <v>153</v>
      </c>
      <c r="E48" s="3">
        <v>29020</v>
      </c>
      <c r="F48" s="59">
        <v>3</v>
      </c>
      <c r="G48" s="59">
        <v>3</v>
      </c>
      <c r="H48" s="59">
        <v>2</v>
      </c>
      <c r="I48" s="59">
        <v>3</v>
      </c>
      <c r="J48" s="59">
        <v>2</v>
      </c>
      <c r="K48" s="59">
        <v>3</v>
      </c>
      <c r="L48" s="59">
        <v>3</v>
      </c>
      <c r="M48" s="59">
        <v>0</v>
      </c>
      <c r="N48" s="58">
        <v>0.6</v>
      </c>
      <c r="O48" s="58">
        <v>0.45119999999999999</v>
      </c>
      <c r="P48" s="59">
        <v>3</v>
      </c>
      <c r="Q48" s="58">
        <v>0.14710000000000001</v>
      </c>
      <c r="R48" s="58">
        <v>0.18390000000000001</v>
      </c>
      <c r="S48" s="59">
        <v>2</v>
      </c>
      <c r="T48" s="58">
        <v>9.4500000000000001E-2</v>
      </c>
      <c r="U48" s="58">
        <v>0.125</v>
      </c>
      <c r="V48" s="59">
        <v>0</v>
      </c>
      <c r="W48" s="58">
        <v>0.19939999999999999</v>
      </c>
      <c r="X48" s="58">
        <v>0.20730000000000001</v>
      </c>
      <c r="Y48" s="59">
        <v>3</v>
      </c>
      <c r="Z48" s="58">
        <v>0.377</v>
      </c>
      <c r="AA48" s="58">
        <v>0.30990000000000001</v>
      </c>
      <c r="AB48" s="59">
        <v>2</v>
      </c>
      <c r="AC48" s="58">
        <v>8.8099999999999998E-2</v>
      </c>
      <c r="AD48" s="58">
        <v>0.13569999999999999</v>
      </c>
      <c r="AE48" s="59">
        <v>3</v>
      </c>
      <c r="AF48" s="58">
        <v>0.315</v>
      </c>
      <c r="AG48" s="58">
        <v>0.36699999999999999</v>
      </c>
      <c r="AH48" s="72"/>
      <c r="AI48" s="58">
        <v>0.6</v>
      </c>
      <c r="AJ48" s="58">
        <v>0.3412</v>
      </c>
      <c r="AK48" s="58">
        <v>0.97260273972602695</v>
      </c>
      <c r="AL48" s="58">
        <v>0.97122302158273399</v>
      </c>
      <c r="AM48" s="58">
        <v>0.92307692307692302</v>
      </c>
      <c r="AN48" s="58">
        <v>0.97278911564625803</v>
      </c>
      <c r="AO48" s="58">
        <v>0.97857142857142898</v>
      </c>
      <c r="AP48" s="58">
        <v>0.91666666666666696</v>
      </c>
      <c r="AQ48" s="58">
        <v>0.25373134328358199</v>
      </c>
      <c r="AR48" s="58">
        <v>0.110236220472441</v>
      </c>
      <c r="AS48" s="58">
        <v>0.61038961038961004</v>
      </c>
      <c r="AT48" s="58">
        <v>0.22222222222222199</v>
      </c>
      <c r="AU48" s="58">
        <v>2.32558139534884E-2</v>
      </c>
      <c r="AV48" s="58">
        <v>0.32876712328767099</v>
      </c>
      <c r="AW48" s="58">
        <v>0.5</v>
      </c>
      <c r="AX48" s="58">
        <v>0.25</v>
      </c>
      <c r="AY48" s="58">
        <v>0.14285714285714299</v>
      </c>
      <c r="AZ48" s="58">
        <v>0.375</v>
      </c>
      <c r="BA48" s="58">
        <v>0.25</v>
      </c>
      <c r="BB48" s="58">
        <v>0.5</v>
      </c>
      <c r="BC48" s="58">
        <v>0.22566940578008801</v>
      </c>
      <c r="BD48" s="58">
        <v>0.40330657476049497</v>
      </c>
      <c r="BE48" s="58">
        <v>0.27540056225315201</v>
      </c>
      <c r="BF48" s="58">
        <v>0.15683014685508501</v>
      </c>
      <c r="BG48" s="58">
        <v>0.23245691727610901</v>
      </c>
      <c r="BH48" s="58">
        <v>0.322636126343053</v>
      </c>
      <c r="BI48" s="58" t="s">
        <v>2</v>
      </c>
      <c r="BJ48" s="58" t="s">
        <v>2</v>
      </c>
      <c r="BK48" s="58">
        <v>0.53969999999999996</v>
      </c>
      <c r="BL48" s="58">
        <v>0.20730000000000001</v>
      </c>
      <c r="BM48" s="58">
        <v>1.17E-2</v>
      </c>
      <c r="BN48" s="58">
        <v>0.31819999999999998</v>
      </c>
      <c r="BO48" s="58">
        <v>0.36359999999999998</v>
      </c>
      <c r="BP48" s="58">
        <v>0.85709999999999997</v>
      </c>
      <c r="BQ48" s="58">
        <v>0.59519999999999995</v>
      </c>
      <c r="BR48" s="58">
        <v>0.3095</v>
      </c>
      <c r="BS48" s="58">
        <v>0</v>
      </c>
      <c r="BT48" s="58">
        <v>0</v>
      </c>
      <c r="BU48" s="58">
        <v>0</v>
      </c>
      <c r="BV48" s="58" t="s">
        <v>23</v>
      </c>
      <c r="BW48" s="58">
        <v>0.95350000000000001</v>
      </c>
      <c r="BX48" s="58">
        <v>0.55449999999999999</v>
      </c>
      <c r="BY48" s="58">
        <v>0.94810000000000005</v>
      </c>
      <c r="BZ48" s="58">
        <v>0.56440000000000001</v>
      </c>
      <c r="CA48" s="58">
        <v>0.95589999999999997</v>
      </c>
      <c r="CB48" s="58">
        <v>0.63370000000000004</v>
      </c>
      <c r="CC48" s="58" t="s">
        <v>23</v>
      </c>
      <c r="CD48" s="85" t="s">
        <v>2</v>
      </c>
      <c r="CE48" s="85" t="s">
        <v>2</v>
      </c>
      <c r="CF48" s="58">
        <v>0.99239999999999995</v>
      </c>
      <c r="CG48" s="58">
        <v>1</v>
      </c>
      <c r="CH48" s="58">
        <v>1</v>
      </c>
      <c r="CI48" s="58">
        <v>0.3</v>
      </c>
      <c r="CJ48" s="58">
        <v>0.8</v>
      </c>
      <c r="CK48" s="58">
        <v>0.8</v>
      </c>
      <c r="CL48" s="60">
        <v>32</v>
      </c>
      <c r="CM48" s="61">
        <v>42</v>
      </c>
      <c r="CN48" s="4"/>
    </row>
    <row r="49" spans="1:92" x14ac:dyDescent="0.25">
      <c r="A49" s="1" t="s">
        <v>66</v>
      </c>
      <c r="B49" s="2" t="s">
        <v>197</v>
      </c>
      <c r="C49" s="2" t="s">
        <v>66</v>
      </c>
      <c r="D49" s="2" t="s">
        <v>153</v>
      </c>
      <c r="E49" s="3">
        <v>29720</v>
      </c>
      <c r="F49" s="59">
        <v>3</v>
      </c>
      <c r="G49" s="59">
        <v>3</v>
      </c>
      <c r="H49" s="59">
        <v>3</v>
      </c>
      <c r="I49" s="59">
        <v>3</v>
      </c>
      <c r="J49" s="59">
        <v>2</v>
      </c>
      <c r="K49" s="59">
        <v>3</v>
      </c>
      <c r="L49" s="59">
        <v>3</v>
      </c>
      <c r="M49" s="59">
        <v>0</v>
      </c>
      <c r="N49" s="58">
        <v>0.55120000000000002</v>
      </c>
      <c r="O49" s="58">
        <v>0.51049999999999995</v>
      </c>
      <c r="P49" s="59">
        <v>2</v>
      </c>
      <c r="Q49" s="58">
        <v>0.12620000000000001</v>
      </c>
      <c r="R49" s="58">
        <v>0.14419999999999999</v>
      </c>
      <c r="S49" s="59">
        <v>3</v>
      </c>
      <c r="T49" s="58">
        <v>0.15709999999999999</v>
      </c>
      <c r="U49" s="58">
        <v>0.16300000000000001</v>
      </c>
      <c r="V49" s="59">
        <v>1</v>
      </c>
      <c r="W49" s="58">
        <v>0.23730000000000001</v>
      </c>
      <c r="X49" s="58">
        <v>0.2215</v>
      </c>
      <c r="Y49" s="59">
        <v>0</v>
      </c>
      <c r="Z49" s="58">
        <v>0.63160000000000005</v>
      </c>
      <c r="AA49" s="58">
        <v>0.71950000000000003</v>
      </c>
      <c r="AB49" s="59">
        <v>0</v>
      </c>
      <c r="AC49" s="58">
        <v>7.1499999999999994E-2</v>
      </c>
      <c r="AD49" s="58">
        <v>0.18379999999999999</v>
      </c>
      <c r="AE49" s="59">
        <v>1</v>
      </c>
      <c r="AF49" s="58">
        <v>0.19900000000000001</v>
      </c>
      <c r="AG49" s="58">
        <v>0.28000000000000003</v>
      </c>
      <c r="AH49" s="72"/>
      <c r="AI49" s="58">
        <v>0.55120000000000002</v>
      </c>
      <c r="AJ49" s="58">
        <v>0.24410000000000001</v>
      </c>
      <c r="AK49" s="58">
        <v>0.989071038251366</v>
      </c>
      <c r="AL49" s="58">
        <v>0.96153846153846201</v>
      </c>
      <c r="AM49" s="58">
        <v>0.98076923076923095</v>
      </c>
      <c r="AN49" s="58">
        <v>0.989071038251366</v>
      </c>
      <c r="AO49" s="58">
        <v>0.96153846153846201</v>
      </c>
      <c r="AP49" s="58">
        <v>0.96335078534031404</v>
      </c>
      <c r="AQ49" s="58">
        <v>0.16853932584269701</v>
      </c>
      <c r="AR49" s="58">
        <v>0.11347517730496499</v>
      </c>
      <c r="AS49" s="58">
        <v>0.47552447552447602</v>
      </c>
      <c r="AT49" s="58">
        <v>0.23033707865168501</v>
      </c>
      <c r="AU49" s="58">
        <v>7.8014184397163094E-2</v>
      </c>
      <c r="AV49" s="58">
        <v>0.26404494382022498</v>
      </c>
      <c r="AW49" s="58">
        <v>0.66666666666666696</v>
      </c>
      <c r="AX49" s="58">
        <v>0.22222222222222199</v>
      </c>
      <c r="AY49" s="58">
        <v>0.5</v>
      </c>
      <c r="AZ49" s="58">
        <v>0.66666666666666696</v>
      </c>
      <c r="BA49" s="58">
        <v>0.22222222222222199</v>
      </c>
      <c r="BB49" s="58">
        <v>0</v>
      </c>
      <c r="BC49" s="58">
        <v>0.39827681765506101</v>
      </c>
      <c r="BD49" s="58">
        <v>0.34247007504747301</v>
      </c>
      <c r="BE49" s="58">
        <v>0.34474321089999899</v>
      </c>
      <c r="BF49" s="58">
        <v>0.35979745049629702</v>
      </c>
      <c r="BG49" s="58">
        <v>0.27151693239738101</v>
      </c>
      <c r="BH49" s="58">
        <v>0.17613068735430901</v>
      </c>
      <c r="BI49" s="58" t="s">
        <v>2</v>
      </c>
      <c r="BJ49" s="58" t="s">
        <v>2</v>
      </c>
      <c r="BK49" s="58">
        <v>0.56079999999999997</v>
      </c>
      <c r="BL49" s="58">
        <v>0.2215</v>
      </c>
      <c r="BM49" s="58">
        <v>2.12E-2</v>
      </c>
      <c r="BN49" s="58">
        <v>0</v>
      </c>
      <c r="BO49" s="58">
        <v>0.82350000000000001</v>
      </c>
      <c r="BP49" s="58">
        <v>0.375</v>
      </c>
      <c r="BQ49" s="58">
        <v>0.05</v>
      </c>
      <c r="BR49" s="58">
        <v>0.65</v>
      </c>
      <c r="BS49" s="58">
        <v>0</v>
      </c>
      <c r="BT49" s="58">
        <v>0</v>
      </c>
      <c r="BU49" s="58">
        <v>0</v>
      </c>
      <c r="BV49" s="58" t="s">
        <v>23</v>
      </c>
      <c r="BW49" s="58">
        <v>0.8367</v>
      </c>
      <c r="BX49" s="58">
        <v>0.58730000000000004</v>
      </c>
      <c r="BY49" s="58">
        <v>0.71430000000000005</v>
      </c>
      <c r="BZ49" s="58">
        <v>0.55559999999999998</v>
      </c>
      <c r="CA49" s="58">
        <v>0.76090000000000002</v>
      </c>
      <c r="CB49" s="58">
        <v>0.71430000000000005</v>
      </c>
      <c r="CC49" s="58">
        <v>1</v>
      </c>
      <c r="CD49" s="85" t="s">
        <v>2</v>
      </c>
      <c r="CE49" s="85" t="s">
        <v>2</v>
      </c>
      <c r="CF49" s="58">
        <v>0.98480000000000001</v>
      </c>
      <c r="CG49" s="58">
        <v>1</v>
      </c>
      <c r="CH49" s="58">
        <v>0.5</v>
      </c>
      <c r="CI49" s="58">
        <v>0.38100000000000001</v>
      </c>
      <c r="CJ49" s="58">
        <v>0.85709999999999997</v>
      </c>
      <c r="CK49" s="58">
        <v>0.85709999999999997</v>
      </c>
      <c r="CL49" s="60">
        <v>27</v>
      </c>
      <c r="CM49" s="61">
        <v>42</v>
      </c>
      <c r="CN49" s="4"/>
    </row>
    <row r="50" spans="1:92" x14ac:dyDescent="0.25">
      <c r="A50" s="1" t="s">
        <v>67</v>
      </c>
      <c r="B50" s="2" t="s">
        <v>198</v>
      </c>
      <c r="C50" s="2" t="s">
        <v>266</v>
      </c>
      <c r="D50" s="2" t="s">
        <v>153</v>
      </c>
      <c r="E50" s="3">
        <v>29360</v>
      </c>
      <c r="F50" s="59">
        <v>3</v>
      </c>
      <c r="G50" s="59">
        <v>3</v>
      </c>
      <c r="H50" s="59">
        <v>2</v>
      </c>
      <c r="I50" s="59">
        <v>3</v>
      </c>
      <c r="J50" s="59">
        <v>2</v>
      </c>
      <c r="K50" s="59">
        <v>3</v>
      </c>
      <c r="L50" s="59">
        <v>3</v>
      </c>
      <c r="M50" s="59">
        <v>3</v>
      </c>
      <c r="N50" s="58">
        <v>0.44230000000000003</v>
      </c>
      <c r="O50" s="58">
        <v>0.62260000000000004</v>
      </c>
      <c r="P50" s="59">
        <v>0</v>
      </c>
      <c r="Q50" s="58">
        <v>9.6799999999999997E-2</v>
      </c>
      <c r="R50" s="58">
        <v>8.9399999999999993E-2</v>
      </c>
      <c r="S50" s="59">
        <v>0</v>
      </c>
      <c r="T50" s="58">
        <v>8.7999999999999995E-2</v>
      </c>
      <c r="U50" s="58">
        <v>5.6000000000000001E-2</v>
      </c>
      <c r="V50" s="59">
        <v>0</v>
      </c>
      <c r="W50" s="58">
        <v>0.16109999999999999</v>
      </c>
      <c r="X50" s="58">
        <v>0.16200000000000001</v>
      </c>
      <c r="Y50" s="59">
        <v>0</v>
      </c>
      <c r="Z50" s="58">
        <v>0.29549999999999998</v>
      </c>
      <c r="AA50" s="58">
        <v>0.40350000000000003</v>
      </c>
      <c r="AB50" s="59">
        <v>2</v>
      </c>
      <c r="AC50" s="58">
        <v>7.9899999999999999E-2</v>
      </c>
      <c r="AD50" s="58">
        <v>9.7500000000000003E-2</v>
      </c>
      <c r="AE50" s="59">
        <v>1</v>
      </c>
      <c r="AF50" s="58">
        <v>0.13800000000000001</v>
      </c>
      <c r="AG50" s="58">
        <v>0.25700000000000001</v>
      </c>
      <c r="AH50" s="72"/>
      <c r="AI50" s="58">
        <v>0.44230000000000003</v>
      </c>
      <c r="AJ50" s="58">
        <v>0.3654</v>
      </c>
      <c r="AK50" s="58">
        <v>0.96923076923076901</v>
      </c>
      <c r="AL50" s="58">
        <v>0.98484848484848497</v>
      </c>
      <c r="AM50" s="58">
        <v>0.92105263157894701</v>
      </c>
      <c r="AN50" s="58">
        <v>1</v>
      </c>
      <c r="AO50" s="58">
        <v>0.98484848484848497</v>
      </c>
      <c r="AP50" s="58">
        <v>0.98148148148148195</v>
      </c>
      <c r="AQ50" s="58">
        <v>0.114754098360656</v>
      </c>
      <c r="AR50" s="58">
        <v>6.4516129032258104E-2</v>
      </c>
      <c r="AS50" s="58">
        <v>0.45161290322580599</v>
      </c>
      <c r="AT50" s="58">
        <v>7.9365079365079402E-2</v>
      </c>
      <c r="AU50" s="58">
        <v>3.2258064516128997E-2</v>
      </c>
      <c r="AV50" s="58">
        <v>0.29166666666666702</v>
      </c>
      <c r="AW50" s="58">
        <v>0</v>
      </c>
      <c r="AX50" s="58">
        <v>0</v>
      </c>
      <c r="AY50" s="58">
        <v>1</v>
      </c>
      <c r="AZ50" s="58">
        <v>0</v>
      </c>
      <c r="BA50" s="58">
        <v>0.33333333333333298</v>
      </c>
      <c r="BB50" s="58">
        <v>0.2</v>
      </c>
      <c r="BC50" s="58">
        <v>0.18876893686969701</v>
      </c>
      <c r="BD50" s="58">
        <v>0.245060708384223</v>
      </c>
      <c r="BE50" s="58">
        <v>0.36256802586954801</v>
      </c>
      <c r="BF50" s="58">
        <v>0.170634920634921</v>
      </c>
      <c r="BG50" s="58">
        <v>0.14146131187585301</v>
      </c>
      <c r="BH50" s="58">
        <v>0.150193798449612</v>
      </c>
      <c r="BI50" s="58" t="s">
        <v>2</v>
      </c>
      <c r="BJ50" s="58" t="s">
        <v>2</v>
      </c>
      <c r="BK50" s="58">
        <v>0.60970000000000002</v>
      </c>
      <c r="BL50" s="58">
        <v>0.16200000000000001</v>
      </c>
      <c r="BM50" s="58">
        <v>1.4E-2</v>
      </c>
      <c r="BN50" s="58">
        <v>0.15</v>
      </c>
      <c r="BO50" s="58">
        <v>0.55000000000000004</v>
      </c>
      <c r="BP50" s="58">
        <v>0.42859999999999998</v>
      </c>
      <c r="BQ50" s="58">
        <v>0.5</v>
      </c>
      <c r="BR50" s="58">
        <v>0.36670000000000003</v>
      </c>
      <c r="BS50" s="58">
        <v>0</v>
      </c>
      <c r="BT50" s="58">
        <v>0.1</v>
      </c>
      <c r="BU50" s="58">
        <v>0</v>
      </c>
      <c r="BV50" s="58" t="s">
        <v>23</v>
      </c>
      <c r="BW50" s="58">
        <v>0.98280000000000001</v>
      </c>
      <c r="BX50" s="58">
        <v>0.59719999999999995</v>
      </c>
      <c r="BY50" s="58">
        <v>0.98329999999999995</v>
      </c>
      <c r="BZ50" s="58">
        <v>0.58330000000000004</v>
      </c>
      <c r="CA50" s="58">
        <v>1</v>
      </c>
      <c r="CB50" s="58">
        <v>0.70830000000000004</v>
      </c>
      <c r="CC50" s="58">
        <v>1</v>
      </c>
      <c r="CD50" s="85" t="s">
        <v>2</v>
      </c>
      <c r="CE50" s="85" t="s">
        <v>2</v>
      </c>
      <c r="CF50" s="58">
        <v>0.97209999999999996</v>
      </c>
      <c r="CG50" s="58">
        <v>1</v>
      </c>
      <c r="CH50" s="58">
        <v>1</v>
      </c>
      <c r="CI50" s="58">
        <v>0.45450000000000002</v>
      </c>
      <c r="CJ50" s="58">
        <v>0.54549999999999998</v>
      </c>
      <c r="CK50" s="58">
        <v>0.54549999999999998</v>
      </c>
      <c r="CL50" s="60">
        <v>25</v>
      </c>
      <c r="CM50" s="61">
        <v>42</v>
      </c>
      <c r="CN50" s="4"/>
    </row>
    <row r="51" spans="1:92" x14ac:dyDescent="0.25">
      <c r="A51" s="1" t="s">
        <v>68</v>
      </c>
      <c r="B51" s="2" t="s">
        <v>199</v>
      </c>
      <c r="C51" s="2" t="s">
        <v>267</v>
      </c>
      <c r="D51" s="2" t="s">
        <v>153</v>
      </c>
      <c r="E51" s="3">
        <v>29325</v>
      </c>
      <c r="F51" s="59">
        <v>3</v>
      </c>
      <c r="G51" s="59">
        <v>3</v>
      </c>
      <c r="H51" s="59">
        <v>3</v>
      </c>
      <c r="I51" s="59">
        <v>3</v>
      </c>
      <c r="J51" s="59">
        <v>3</v>
      </c>
      <c r="K51" s="59">
        <v>3</v>
      </c>
      <c r="L51" s="59">
        <v>3</v>
      </c>
      <c r="M51" s="59">
        <v>0</v>
      </c>
      <c r="N51" s="58">
        <v>0.58330000000000004</v>
      </c>
      <c r="O51" s="58">
        <v>0.33329999999999999</v>
      </c>
      <c r="P51" s="59">
        <v>0</v>
      </c>
      <c r="Q51" s="58">
        <v>7.0400000000000004E-2</v>
      </c>
      <c r="R51" s="58">
        <v>3.2800000000000003E-2</v>
      </c>
      <c r="S51" s="59">
        <v>0</v>
      </c>
      <c r="T51" s="58">
        <v>0.1216</v>
      </c>
      <c r="U51" s="58">
        <v>4.9200000000000001E-2</v>
      </c>
      <c r="V51" s="59">
        <v>0</v>
      </c>
      <c r="W51" s="58">
        <v>0.23519999999999999</v>
      </c>
      <c r="X51" s="58">
        <v>0.24299999999999999</v>
      </c>
      <c r="Y51" s="59">
        <v>0</v>
      </c>
      <c r="Z51" s="58">
        <v>0.38890000000000002</v>
      </c>
      <c r="AA51" s="58">
        <v>0.45450000000000002</v>
      </c>
      <c r="AB51" s="59">
        <v>0</v>
      </c>
      <c r="AC51" s="58">
        <v>0.1022</v>
      </c>
      <c r="AD51" s="58">
        <v>0.1928</v>
      </c>
      <c r="AE51" s="59">
        <v>1</v>
      </c>
      <c r="AF51" s="58">
        <v>0.2</v>
      </c>
      <c r="AG51" s="58">
        <v>0.27500000000000002</v>
      </c>
      <c r="AH51" s="72"/>
      <c r="AI51" s="58">
        <v>0.58330000000000004</v>
      </c>
      <c r="AJ51" s="58">
        <v>0.375</v>
      </c>
      <c r="AK51" s="58">
        <v>1</v>
      </c>
      <c r="AL51" s="58">
        <v>0.97297297297297303</v>
      </c>
      <c r="AM51" s="58">
        <v>0.93333333333333302</v>
      </c>
      <c r="AN51" s="58">
        <v>1</v>
      </c>
      <c r="AO51" s="58">
        <v>0.97297297297297303</v>
      </c>
      <c r="AP51" s="58">
        <v>0.9375</v>
      </c>
      <c r="AQ51" s="58">
        <v>3.5714285714285698E-2</v>
      </c>
      <c r="AR51" s="58">
        <v>3.03030303030303E-2</v>
      </c>
      <c r="AS51" s="58">
        <v>0.42857142857142899</v>
      </c>
      <c r="AT51" s="58">
        <v>7.1428571428571397E-2</v>
      </c>
      <c r="AU51" s="58">
        <v>3.03030303030303E-2</v>
      </c>
      <c r="AV51" s="58">
        <v>0.11111111111111099</v>
      </c>
      <c r="AW51" s="58">
        <v>0</v>
      </c>
      <c r="AX51" s="58">
        <v>0.33333333333333298</v>
      </c>
      <c r="AY51" s="58" t="s">
        <v>23</v>
      </c>
      <c r="AZ51" s="58">
        <v>0.5</v>
      </c>
      <c r="BA51" s="58">
        <v>0</v>
      </c>
      <c r="BB51" s="58">
        <v>0.33333333333333298</v>
      </c>
      <c r="BC51" s="58">
        <v>0.328416149068323</v>
      </c>
      <c r="BD51" s="58">
        <v>0.421958276229633</v>
      </c>
      <c r="BE51" s="58">
        <v>0.44179894179894202</v>
      </c>
      <c r="BF51" s="58">
        <v>0.28726708074534202</v>
      </c>
      <c r="BG51" s="58">
        <v>0.24969696969697</v>
      </c>
      <c r="BH51" s="58">
        <v>0.42337164750957901</v>
      </c>
      <c r="BI51" s="58" t="s">
        <v>2</v>
      </c>
      <c r="BJ51" s="58" t="s">
        <v>2</v>
      </c>
      <c r="BK51" s="58">
        <v>0.61080000000000001</v>
      </c>
      <c r="BL51" s="58">
        <v>0.24299999999999999</v>
      </c>
      <c r="BM51" s="58">
        <v>6.4999999999999997E-3</v>
      </c>
      <c r="BN51" s="58">
        <v>0</v>
      </c>
      <c r="BO51" s="58">
        <v>0.61539999999999995</v>
      </c>
      <c r="BP51" s="58">
        <v>0.25</v>
      </c>
      <c r="BQ51" s="58">
        <v>0.125</v>
      </c>
      <c r="BR51" s="58">
        <v>0.375</v>
      </c>
      <c r="BS51" s="58">
        <v>0</v>
      </c>
      <c r="BT51" s="58">
        <v>0</v>
      </c>
      <c r="BU51" s="58">
        <v>0</v>
      </c>
      <c r="BV51" s="58" t="s">
        <v>23</v>
      </c>
      <c r="BW51" s="58">
        <v>1</v>
      </c>
      <c r="BX51" s="58">
        <v>0.4194</v>
      </c>
      <c r="BY51" s="58">
        <v>0.93330000000000002</v>
      </c>
      <c r="BZ51" s="58">
        <v>0.3226</v>
      </c>
      <c r="CA51" s="58">
        <v>0.84209999999999996</v>
      </c>
      <c r="CB51" s="58">
        <v>0.6774</v>
      </c>
      <c r="CC51" s="58">
        <v>1</v>
      </c>
      <c r="CD51" s="85" t="s">
        <v>2</v>
      </c>
      <c r="CE51" s="85" t="s">
        <v>2</v>
      </c>
      <c r="CF51" s="58">
        <v>1</v>
      </c>
      <c r="CG51" s="58">
        <v>1</v>
      </c>
      <c r="CH51" s="58">
        <v>1</v>
      </c>
      <c r="CI51" s="58">
        <v>0.2</v>
      </c>
      <c r="CJ51" s="58">
        <v>0.6</v>
      </c>
      <c r="CK51" s="58">
        <v>0.6</v>
      </c>
      <c r="CL51" s="60">
        <v>22</v>
      </c>
      <c r="CM51" s="61">
        <v>42</v>
      </c>
      <c r="CN51" s="4"/>
    </row>
    <row r="52" spans="1:92" x14ac:dyDescent="0.25">
      <c r="A52" s="1" t="s">
        <v>69</v>
      </c>
      <c r="B52" s="2" t="s">
        <v>200</v>
      </c>
      <c r="C52" s="2" t="s">
        <v>268</v>
      </c>
      <c r="D52" s="2" t="s">
        <v>153</v>
      </c>
      <c r="E52" s="3">
        <v>29010</v>
      </c>
      <c r="F52" s="59">
        <v>3</v>
      </c>
      <c r="G52" s="59">
        <v>3</v>
      </c>
      <c r="H52" s="59">
        <v>2</v>
      </c>
      <c r="I52" s="59">
        <v>3</v>
      </c>
      <c r="J52" s="59">
        <v>3</v>
      </c>
      <c r="K52" s="59">
        <v>3</v>
      </c>
      <c r="L52" s="59">
        <v>3</v>
      </c>
      <c r="M52" s="59">
        <v>3</v>
      </c>
      <c r="N52" s="58">
        <v>0.66669999999999996</v>
      </c>
      <c r="O52" s="58">
        <v>0.77780000000000005</v>
      </c>
      <c r="P52" s="59">
        <v>1</v>
      </c>
      <c r="Q52" s="58">
        <v>0</v>
      </c>
      <c r="R52" s="58">
        <v>6.4500000000000002E-2</v>
      </c>
      <c r="S52" s="59">
        <v>0</v>
      </c>
      <c r="T52" s="58">
        <v>0</v>
      </c>
      <c r="U52" s="58">
        <v>0</v>
      </c>
      <c r="V52" s="59">
        <v>1</v>
      </c>
      <c r="W52" s="58">
        <v>0.23530000000000001</v>
      </c>
      <c r="X52" s="58">
        <v>0.2155</v>
      </c>
      <c r="Y52" s="59">
        <v>3</v>
      </c>
      <c r="Z52" s="58">
        <v>0</v>
      </c>
      <c r="AA52" s="58">
        <v>0</v>
      </c>
      <c r="AB52" s="59">
        <v>0</v>
      </c>
      <c r="AC52" s="58">
        <v>9.7999999999999997E-3</v>
      </c>
      <c r="AD52" s="58">
        <v>0.43319999999999997</v>
      </c>
      <c r="AE52" s="59">
        <v>1</v>
      </c>
      <c r="AF52" s="58">
        <v>4.2000000000000003E-2</v>
      </c>
      <c r="AG52" s="58">
        <v>0.17199999999999999</v>
      </c>
      <c r="AH52" s="72"/>
      <c r="AI52" s="58">
        <v>0.66669999999999996</v>
      </c>
      <c r="AJ52" s="58">
        <v>0</v>
      </c>
      <c r="AK52" s="58">
        <v>1</v>
      </c>
      <c r="AL52" s="58">
        <v>0.85714285714285698</v>
      </c>
      <c r="AM52" s="58">
        <v>0.66666666666666696</v>
      </c>
      <c r="AN52" s="58">
        <v>1</v>
      </c>
      <c r="AO52" s="58">
        <v>0.90476190476190499</v>
      </c>
      <c r="AP52" s="58">
        <v>0.91666666666666696</v>
      </c>
      <c r="AQ52" s="58">
        <v>6.6666666666666693E-2</v>
      </c>
      <c r="AR52" s="58">
        <v>6.25E-2</v>
      </c>
      <c r="AS52" s="58">
        <v>0</v>
      </c>
      <c r="AT52" s="58">
        <v>0</v>
      </c>
      <c r="AU52" s="58">
        <v>0</v>
      </c>
      <c r="AV52" s="58">
        <v>9.0909090909090898E-2</v>
      </c>
      <c r="AW52" s="58">
        <v>0</v>
      </c>
      <c r="AX52" s="58">
        <v>0.5</v>
      </c>
      <c r="AY52" s="58" t="s">
        <v>23</v>
      </c>
      <c r="AZ52" s="58">
        <v>0</v>
      </c>
      <c r="BA52" s="58">
        <v>0.33333333333333298</v>
      </c>
      <c r="BB52" s="58" t="s">
        <v>23</v>
      </c>
      <c r="BC52" s="58">
        <v>0.1</v>
      </c>
      <c r="BD52" s="58">
        <v>0.108928571428571</v>
      </c>
      <c r="BE52" s="58">
        <v>0.71296296296296302</v>
      </c>
      <c r="BF52" s="58">
        <v>9.2592592592592601E-2</v>
      </c>
      <c r="BG52" s="58">
        <v>6.6037735849056603E-2</v>
      </c>
      <c r="BH52" s="58">
        <v>0.13986013986014001</v>
      </c>
      <c r="BI52" s="58" t="s">
        <v>2</v>
      </c>
      <c r="BJ52" s="58" t="s">
        <v>2</v>
      </c>
      <c r="BK52" s="58">
        <v>0.39229999999999998</v>
      </c>
      <c r="BL52" s="58">
        <v>0.2155</v>
      </c>
      <c r="BM52" s="58">
        <v>5.4999999999999997E-3</v>
      </c>
      <c r="BN52" s="58">
        <v>1</v>
      </c>
      <c r="BO52" s="58" t="s">
        <v>23</v>
      </c>
      <c r="BP52" s="58" t="s">
        <v>23</v>
      </c>
      <c r="BQ52" s="58">
        <v>1</v>
      </c>
      <c r="BR52" s="58" t="s">
        <v>23</v>
      </c>
      <c r="BS52" s="58" t="s">
        <v>23</v>
      </c>
      <c r="BT52" s="58" t="s">
        <v>23</v>
      </c>
      <c r="BU52" s="58" t="s">
        <v>23</v>
      </c>
      <c r="BV52" s="58" t="s">
        <v>23</v>
      </c>
      <c r="BW52" s="58">
        <v>0.71430000000000005</v>
      </c>
      <c r="BX52" s="58">
        <v>0.66669999999999996</v>
      </c>
      <c r="BY52" s="58">
        <v>0.71430000000000005</v>
      </c>
      <c r="BZ52" s="58">
        <v>0.55559999999999998</v>
      </c>
      <c r="CA52" s="58">
        <v>0.83330000000000004</v>
      </c>
      <c r="CB52" s="58">
        <v>0.77780000000000005</v>
      </c>
      <c r="CC52" s="58" t="s">
        <v>23</v>
      </c>
      <c r="CD52" s="85" t="s">
        <v>2</v>
      </c>
      <c r="CE52" s="85" t="s">
        <v>2</v>
      </c>
      <c r="CF52" s="58">
        <v>1</v>
      </c>
      <c r="CG52" s="58">
        <v>1</v>
      </c>
      <c r="CH52" s="58">
        <v>1</v>
      </c>
      <c r="CI52" s="58">
        <v>0</v>
      </c>
      <c r="CJ52" s="58">
        <v>0</v>
      </c>
      <c r="CK52" s="58">
        <v>0</v>
      </c>
      <c r="CL52" s="60">
        <v>26</v>
      </c>
      <c r="CM52" s="61">
        <v>42</v>
      </c>
      <c r="CN52" s="4"/>
    </row>
    <row r="53" spans="1:92" x14ac:dyDescent="0.25">
      <c r="A53" s="1" t="s">
        <v>70</v>
      </c>
      <c r="B53" s="2" t="s">
        <v>201</v>
      </c>
      <c r="C53" s="2" t="s">
        <v>269</v>
      </c>
      <c r="D53" s="2" t="s">
        <v>153</v>
      </c>
      <c r="E53" s="3">
        <v>29072</v>
      </c>
      <c r="F53" s="59">
        <v>3</v>
      </c>
      <c r="G53" s="59">
        <v>3</v>
      </c>
      <c r="H53" s="59">
        <v>3</v>
      </c>
      <c r="I53" s="59">
        <v>3</v>
      </c>
      <c r="J53" s="59">
        <v>2</v>
      </c>
      <c r="K53" s="59">
        <v>3</v>
      </c>
      <c r="L53" s="59">
        <v>3</v>
      </c>
      <c r="M53" s="59">
        <v>3</v>
      </c>
      <c r="N53" s="58">
        <v>0.53990000000000005</v>
      </c>
      <c r="O53" s="58">
        <v>0.61360000000000003</v>
      </c>
      <c r="P53" s="59">
        <v>3</v>
      </c>
      <c r="Q53" s="58">
        <v>0.13600000000000001</v>
      </c>
      <c r="R53" s="58">
        <v>0.1474</v>
      </c>
      <c r="S53" s="59">
        <v>2</v>
      </c>
      <c r="T53" s="58">
        <v>0.1125</v>
      </c>
      <c r="U53" s="58">
        <v>0.12859999999999999</v>
      </c>
      <c r="V53" s="59">
        <v>3</v>
      </c>
      <c r="W53" s="58">
        <v>0.1104</v>
      </c>
      <c r="X53" s="58">
        <v>0.1024</v>
      </c>
      <c r="Y53" s="59">
        <v>2</v>
      </c>
      <c r="Z53" s="58">
        <v>0.28849999999999998</v>
      </c>
      <c r="AA53" s="58">
        <v>0.31469999999999998</v>
      </c>
      <c r="AB53" s="59">
        <v>2</v>
      </c>
      <c r="AC53" s="58">
        <v>9.2899999999999996E-2</v>
      </c>
      <c r="AD53" s="58">
        <v>0.105</v>
      </c>
      <c r="AE53" s="59">
        <v>3</v>
      </c>
      <c r="AF53" s="58">
        <v>0.27100000000000002</v>
      </c>
      <c r="AG53" s="58">
        <v>0.38500000000000001</v>
      </c>
      <c r="AH53" s="72"/>
      <c r="AI53" s="58">
        <v>0.53990000000000005</v>
      </c>
      <c r="AJ53" s="58">
        <v>0.2147</v>
      </c>
      <c r="AK53" s="58">
        <v>0.97707736389684796</v>
      </c>
      <c r="AL53" s="58">
        <v>0.94656488549618301</v>
      </c>
      <c r="AM53" s="58">
        <v>0.98239436619718301</v>
      </c>
      <c r="AN53" s="58">
        <v>0.97421203438395398</v>
      </c>
      <c r="AO53" s="58">
        <v>0.93893129770992401</v>
      </c>
      <c r="AP53" s="58">
        <v>0.96284829721362197</v>
      </c>
      <c r="AQ53" s="58">
        <v>0.200607902735562</v>
      </c>
      <c r="AR53" s="58">
        <v>7.2649572649572697E-2</v>
      </c>
      <c r="AS53" s="58">
        <v>0.543396226415094</v>
      </c>
      <c r="AT53" s="58">
        <v>0.198170731707317</v>
      </c>
      <c r="AU53" s="58">
        <v>3.0172413793103401E-2</v>
      </c>
      <c r="AV53" s="58">
        <v>0.27272727272727298</v>
      </c>
      <c r="AW53" s="58">
        <v>0.41666666666666702</v>
      </c>
      <c r="AX53" s="58">
        <v>0.14285714285714299</v>
      </c>
      <c r="AY53" s="58">
        <v>0.5</v>
      </c>
      <c r="AZ53" s="58">
        <v>0.16666666666666699</v>
      </c>
      <c r="BA53" s="58">
        <v>0.14285714285714299</v>
      </c>
      <c r="BB53" s="58">
        <v>0.214285714285714</v>
      </c>
      <c r="BC53" s="58">
        <v>0.35467822723533998</v>
      </c>
      <c r="BD53" s="58">
        <v>0.42453616843860698</v>
      </c>
      <c r="BE53" s="58">
        <v>0.33457595842115501</v>
      </c>
      <c r="BF53" s="58">
        <v>0.298672396024592</v>
      </c>
      <c r="BG53" s="58">
        <v>0.285641757957248</v>
      </c>
      <c r="BH53" s="58">
        <v>0.29058902483093302</v>
      </c>
      <c r="BI53" s="58" t="s">
        <v>2</v>
      </c>
      <c r="BJ53" s="58" t="s">
        <v>2</v>
      </c>
      <c r="BK53" s="58">
        <v>0.74080000000000001</v>
      </c>
      <c r="BL53" s="58">
        <v>0.1024</v>
      </c>
      <c r="BM53" s="58">
        <v>5.4000000000000003E-3</v>
      </c>
      <c r="BN53" s="58">
        <v>0</v>
      </c>
      <c r="BO53" s="58">
        <v>0.56440000000000001</v>
      </c>
      <c r="BP53" s="58">
        <v>0.25</v>
      </c>
      <c r="BQ53" s="58">
        <v>0.21190000000000001</v>
      </c>
      <c r="BR53" s="58">
        <v>0.161</v>
      </c>
      <c r="BS53" s="58">
        <v>0</v>
      </c>
      <c r="BT53" s="58">
        <v>9.9000000000000008E-3</v>
      </c>
      <c r="BU53" s="58">
        <v>0</v>
      </c>
      <c r="BV53" s="58">
        <v>0</v>
      </c>
      <c r="BW53" s="58">
        <v>0.81820000000000004</v>
      </c>
      <c r="BX53" s="58">
        <v>0.53059999999999996</v>
      </c>
      <c r="BY53" s="58">
        <v>0.8387</v>
      </c>
      <c r="BZ53" s="58">
        <v>0.56459999999999999</v>
      </c>
      <c r="CA53" s="58">
        <v>0.93220000000000003</v>
      </c>
      <c r="CB53" s="58">
        <v>0.68030000000000002</v>
      </c>
      <c r="CC53" s="58">
        <v>0.9617</v>
      </c>
      <c r="CD53" s="85" t="s">
        <v>2</v>
      </c>
      <c r="CE53" s="85" t="s">
        <v>2</v>
      </c>
      <c r="CF53" s="58">
        <v>0.99070000000000003</v>
      </c>
      <c r="CG53" s="58">
        <v>1</v>
      </c>
      <c r="CH53" s="58">
        <v>1</v>
      </c>
      <c r="CI53" s="58">
        <v>0.25419999999999998</v>
      </c>
      <c r="CJ53" s="58">
        <v>0.71189999999999998</v>
      </c>
      <c r="CK53" s="58">
        <v>0.7288</v>
      </c>
      <c r="CL53" s="60">
        <v>38</v>
      </c>
      <c r="CM53" s="61">
        <v>42</v>
      </c>
      <c r="CN53" s="4"/>
    </row>
    <row r="54" spans="1:92" x14ac:dyDescent="0.25">
      <c r="A54" s="1" t="s">
        <v>71</v>
      </c>
      <c r="B54" s="2" t="s">
        <v>202</v>
      </c>
      <c r="C54" s="2" t="s">
        <v>270</v>
      </c>
      <c r="D54" s="2" t="s">
        <v>153</v>
      </c>
      <c r="E54" s="3">
        <v>29169</v>
      </c>
      <c r="F54" s="59">
        <v>3</v>
      </c>
      <c r="G54" s="59">
        <v>3</v>
      </c>
      <c r="H54" s="59">
        <v>3</v>
      </c>
      <c r="I54" s="59">
        <v>3</v>
      </c>
      <c r="J54" s="59">
        <v>3</v>
      </c>
      <c r="K54" s="59">
        <v>2</v>
      </c>
      <c r="L54" s="59">
        <v>3</v>
      </c>
      <c r="M54" s="59">
        <v>3</v>
      </c>
      <c r="N54" s="58">
        <v>0.69089999999999996</v>
      </c>
      <c r="O54" s="58">
        <v>0.61109999999999998</v>
      </c>
      <c r="P54" s="59">
        <v>1</v>
      </c>
      <c r="Q54" s="58">
        <v>6.6400000000000001E-2</v>
      </c>
      <c r="R54" s="58">
        <v>0.1144</v>
      </c>
      <c r="S54" s="59">
        <v>2</v>
      </c>
      <c r="T54" s="58">
        <v>7.5899999999999995E-2</v>
      </c>
      <c r="U54" s="58">
        <v>0.1308</v>
      </c>
      <c r="V54" s="59">
        <v>3</v>
      </c>
      <c r="W54" s="58">
        <v>0.1074</v>
      </c>
      <c r="X54" s="58">
        <v>0.1232</v>
      </c>
      <c r="Y54" s="59">
        <v>1</v>
      </c>
      <c r="Z54" s="58">
        <v>0.59489999999999998</v>
      </c>
      <c r="AA54" s="58">
        <v>0.49280000000000002</v>
      </c>
      <c r="AB54" s="59">
        <v>0</v>
      </c>
      <c r="AC54" s="58">
        <v>0.1148</v>
      </c>
      <c r="AD54" s="58">
        <v>0.1981</v>
      </c>
      <c r="AE54" s="59">
        <v>1</v>
      </c>
      <c r="AF54" s="58">
        <v>5.8999999999999997E-2</v>
      </c>
      <c r="AG54" s="58">
        <v>0.17299999999999999</v>
      </c>
      <c r="AH54" s="72"/>
      <c r="AI54" s="58">
        <v>0.69089999999999996</v>
      </c>
      <c r="AJ54" s="58">
        <v>9.0899999999999995E-2</v>
      </c>
      <c r="AK54" s="58">
        <v>0.99305555555555602</v>
      </c>
      <c r="AL54" s="58">
        <v>0.98198198198198205</v>
      </c>
      <c r="AM54" s="58">
        <v>0.87878787878787901</v>
      </c>
      <c r="AN54" s="58">
        <v>1</v>
      </c>
      <c r="AO54" s="58">
        <v>0.98198198198198205</v>
      </c>
      <c r="AP54" s="58">
        <v>0.92134831460674205</v>
      </c>
      <c r="AQ54" s="58">
        <v>0.18181818181818199</v>
      </c>
      <c r="AR54" s="58">
        <v>2.8846153846153799E-2</v>
      </c>
      <c r="AS54" s="58">
        <v>0.39024390243902402</v>
      </c>
      <c r="AT54" s="58">
        <v>0.16541353383458601</v>
      </c>
      <c r="AU54" s="58">
        <v>8.6538461538461495E-2</v>
      </c>
      <c r="AV54" s="58">
        <v>0.27272727272727298</v>
      </c>
      <c r="AW54" s="58">
        <v>0.36363636363636398</v>
      </c>
      <c r="AX54" s="58">
        <v>0.4</v>
      </c>
      <c r="AY54" s="58">
        <v>0.8</v>
      </c>
      <c r="AZ54" s="58">
        <v>0.36363636363636398</v>
      </c>
      <c r="BA54" s="58">
        <v>0.8</v>
      </c>
      <c r="BB54" s="58">
        <v>0.6</v>
      </c>
      <c r="BC54" s="58">
        <v>0.234848484848485</v>
      </c>
      <c r="BD54" s="58">
        <v>0.31202865761689302</v>
      </c>
      <c r="BE54" s="58">
        <v>0.40808943089430899</v>
      </c>
      <c r="BF54" s="58">
        <v>0.19618646616541399</v>
      </c>
      <c r="BG54" s="58">
        <v>0.187971342383107</v>
      </c>
      <c r="BH54" s="58">
        <v>0.19463565155471199</v>
      </c>
      <c r="BI54" s="58" t="s">
        <v>2</v>
      </c>
      <c r="BJ54" s="58" t="s">
        <v>152</v>
      </c>
      <c r="BK54" s="58">
        <v>0.65429999999999999</v>
      </c>
      <c r="BL54" s="58">
        <v>0.1232</v>
      </c>
      <c r="BM54" s="58">
        <v>3.1199999999999999E-2</v>
      </c>
      <c r="BN54" s="58">
        <v>0.13639999999999999</v>
      </c>
      <c r="BO54" s="58">
        <v>0.59089999999999998</v>
      </c>
      <c r="BP54" s="58">
        <v>0.4</v>
      </c>
      <c r="BQ54" s="58">
        <v>0.43240000000000001</v>
      </c>
      <c r="BR54" s="58">
        <v>0.45950000000000002</v>
      </c>
      <c r="BS54" s="58">
        <v>0</v>
      </c>
      <c r="BT54" s="58">
        <v>9.0899999999999995E-2</v>
      </c>
      <c r="BU54" s="58">
        <v>0</v>
      </c>
      <c r="BV54" s="58" t="s">
        <v>23</v>
      </c>
      <c r="BW54" s="58">
        <v>0.86140000000000005</v>
      </c>
      <c r="BX54" s="58">
        <v>0.38240000000000002</v>
      </c>
      <c r="BY54" s="58">
        <v>0.89690000000000003</v>
      </c>
      <c r="BZ54" s="58">
        <v>0.32350000000000001</v>
      </c>
      <c r="CA54" s="58">
        <v>0.89900000000000002</v>
      </c>
      <c r="CB54" s="58">
        <v>0.52939999999999998</v>
      </c>
      <c r="CC54" s="58">
        <v>1</v>
      </c>
      <c r="CD54" s="85" t="s">
        <v>2</v>
      </c>
      <c r="CE54" s="85" t="s">
        <v>2</v>
      </c>
      <c r="CF54" s="58">
        <v>1</v>
      </c>
      <c r="CG54" s="58">
        <v>1</v>
      </c>
      <c r="CH54" s="58">
        <v>1</v>
      </c>
      <c r="CI54" s="58">
        <v>0.25</v>
      </c>
      <c r="CJ54" s="58">
        <v>0.75</v>
      </c>
      <c r="CK54" s="58">
        <v>0.75</v>
      </c>
      <c r="CL54" s="60">
        <v>31</v>
      </c>
      <c r="CM54" s="61">
        <v>42</v>
      </c>
      <c r="CN54" s="4"/>
    </row>
    <row r="55" spans="1:92" x14ac:dyDescent="0.25">
      <c r="A55" s="1" t="s">
        <v>72</v>
      </c>
      <c r="B55" s="2" t="s">
        <v>203</v>
      </c>
      <c r="C55" s="2" t="s">
        <v>271</v>
      </c>
      <c r="D55" s="2" t="s">
        <v>153</v>
      </c>
      <c r="E55" s="3">
        <v>29006</v>
      </c>
      <c r="F55" s="59">
        <v>3</v>
      </c>
      <c r="G55" s="59">
        <v>3</v>
      </c>
      <c r="H55" s="59">
        <v>3</v>
      </c>
      <c r="I55" s="59">
        <v>3</v>
      </c>
      <c r="J55" s="59">
        <v>3</v>
      </c>
      <c r="K55" s="59">
        <v>3</v>
      </c>
      <c r="L55" s="59">
        <v>3</v>
      </c>
      <c r="M55" s="59">
        <v>0</v>
      </c>
      <c r="N55" s="58">
        <v>0.52629999999999999</v>
      </c>
      <c r="O55" s="58">
        <v>0.4</v>
      </c>
      <c r="P55" s="59">
        <v>0</v>
      </c>
      <c r="Q55" s="58">
        <v>0.1111</v>
      </c>
      <c r="R55" s="58">
        <v>0.1111</v>
      </c>
      <c r="S55" s="59">
        <v>0</v>
      </c>
      <c r="T55" s="58">
        <v>0.16669999999999999</v>
      </c>
      <c r="U55" s="58">
        <v>8.8900000000000007E-2</v>
      </c>
      <c r="V55" s="59">
        <v>0</v>
      </c>
      <c r="W55" s="58">
        <v>0.17030000000000001</v>
      </c>
      <c r="X55" s="58">
        <v>0.17630000000000001</v>
      </c>
      <c r="Y55" s="59">
        <v>0</v>
      </c>
      <c r="Z55" s="58">
        <v>0</v>
      </c>
      <c r="AA55" s="58">
        <v>0.5</v>
      </c>
      <c r="AB55" s="59">
        <v>2</v>
      </c>
      <c r="AC55" s="58">
        <v>8.8300000000000003E-2</v>
      </c>
      <c r="AD55" s="58">
        <v>0.1371</v>
      </c>
      <c r="AE55" s="59">
        <v>3</v>
      </c>
      <c r="AF55" s="58">
        <v>0.182</v>
      </c>
      <c r="AG55" s="58">
        <v>0.5</v>
      </c>
      <c r="AH55" s="72"/>
      <c r="AI55" s="58">
        <v>0.52629999999999999</v>
      </c>
      <c r="AJ55" s="58">
        <v>0.31580000000000003</v>
      </c>
      <c r="AK55" s="58">
        <v>1</v>
      </c>
      <c r="AL55" s="58">
        <v>0.9</v>
      </c>
      <c r="AM55" s="58">
        <v>0.95652173913043503</v>
      </c>
      <c r="AN55" s="58">
        <v>1</v>
      </c>
      <c r="AO55" s="58">
        <v>0.9</v>
      </c>
      <c r="AP55" s="58">
        <v>0.93333333333333302</v>
      </c>
      <c r="AQ55" s="58">
        <v>0.17241379310344801</v>
      </c>
      <c r="AR55" s="58">
        <v>0</v>
      </c>
      <c r="AS55" s="58">
        <v>0.33333333333333298</v>
      </c>
      <c r="AT55" s="58">
        <v>0.13793103448275901</v>
      </c>
      <c r="AU55" s="58">
        <v>0</v>
      </c>
      <c r="AV55" s="58">
        <v>0.230769230769231</v>
      </c>
      <c r="AW55" s="58">
        <v>0.5</v>
      </c>
      <c r="AX55" s="58">
        <v>0</v>
      </c>
      <c r="AY55" s="58">
        <v>0</v>
      </c>
      <c r="AZ55" s="58">
        <v>1</v>
      </c>
      <c r="BA55" s="58">
        <v>0</v>
      </c>
      <c r="BB55" s="58">
        <v>1</v>
      </c>
      <c r="BC55" s="58">
        <v>0.16508620689655201</v>
      </c>
      <c r="BD55" s="58">
        <v>0.36231884057970998</v>
      </c>
      <c r="BE55" s="58">
        <v>0.44642857142857101</v>
      </c>
      <c r="BF55" s="58">
        <v>0.23081896551724099</v>
      </c>
      <c r="BG55" s="58">
        <v>0.13669064748201401</v>
      </c>
      <c r="BH55" s="58">
        <v>0.11349306431273599</v>
      </c>
      <c r="BI55" s="58" t="s">
        <v>2</v>
      </c>
      <c r="BJ55" s="58" t="s">
        <v>2</v>
      </c>
      <c r="BK55" s="58">
        <v>0.71189999999999998</v>
      </c>
      <c r="BL55" s="58">
        <v>0.17630000000000001</v>
      </c>
      <c r="BM55" s="58">
        <v>2.7099999999999999E-2</v>
      </c>
      <c r="BN55" s="58" t="s">
        <v>23</v>
      </c>
      <c r="BO55" s="58">
        <v>1</v>
      </c>
      <c r="BP55" s="58" t="s">
        <v>23</v>
      </c>
      <c r="BQ55" s="58">
        <v>0.66669999999999996</v>
      </c>
      <c r="BR55" s="58">
        <v>0.33329999999999999</v>
      </c>
      <c r="BS55" s="58" t="s">
        <v>23</v>
      </c>
      <c r="BT55" s="58" t="s">
        <v>23</v>
      </c>
      <c r="BU55" s="58" t="s">
        <v>23</v>
      </c>
      <c r="BV55" s="58" t="s">
        <v>23</v>
      </c>
      <c r="BW55" s="58">
        <v>1</v>
      </c>
      <c r="BX55" s="58">
        <v>0.53849999999999998</v>
      </c>
      <c r="BY55" s="58">
        <v>1</v>
      </c>
      <c r="BZ55" s="58">
        <v>0.30769999999999997</v>
      </c>
      <c r="CA55" s="58">
        <v>1</v>
      </c>
      <c r="CB55" s="58">
        <v>0.84619999999999995</v>
      </c>
      <c r="CC55" s="58">
        <v>1</v>
      </c>
      <c r="CD55" s="85" t="s">
        <v>2</v>
      </c>
      <c r="CE55" s="85" t="s">
        <v>2</v>
      </c>
      <c r="CF55" s="58">
        <v>1</v>
      </c>
      <c r="CG55" s="58">
        <v>1</v>
      </c>
      <c r="CH55" s="58">
        <v>1</v>
      </c>
      <c r="CI55" s="58">
        <v>0.25</v>
      </c>
      <c r="CJ55" s="58">
        <v>0.75</v>
      </c>
      <c r="CK55" s="58">
        <v>1</v>
      </c>
      <c r="CL55" s="60">
        <v>26</v>
      </c>
      <c r="CM55" s="61">
        <v>42</v>
      </c>
      <c r="CN55" s="4"/>
    </row>
    <row r="56" spans="1:92" x14ac:dyDescent="0.25">
      <c r="A56" s="1" t="s">
        <v>73</v>
      </c>
      <c r="B56" s="2" t="s">
        <v>204</v>
      </c>
      <c r="C56" s="2" t="s">
        <v>272</v>
      </c>
      <c r="D56" s="2" t="s">
        <v>153</v>
      </c>
      <c r="E56" s="3">
        <v>29160</v>
      </c>
      <c r="F56" s="59">
        <v>3</v>
      </c>
      <c r="G56" s="59">
        <v>3</v>
      </c>
      <c r="H56" s="59">
        <v>3</v>
      </c>
      <c r="I56" s="59">
        <v>3</v>
      </c>
      <c r="J56" s="59">
        <v>3</v>
      </c>
      <c r="K56" s="59">
        <v>2</v>
      </c>
      <c r="L56" s="59">
        <v>3</v>
      </c>
      <c r="M56" s="59">
        <v>0</v>
      </c>
      <c r="N56" s="58">
        <v>0.64</v>
      </c>
      <c r="O56" s="58">
        <v>0.43590000000000001</v>
      </c>
      <c r="P56" s="59">
        <v>1</v>
      </c>
      <c r="Q56" s="58">
        <v>2.2200000000000001E-2</v>
      </c>
      <c r="R56" s="58">
        <v>2.8299999999999999E-2</v>
      </c>
      <c r="S56" s="59">
        <v>1</v>
      </c>
      <c r="T56" s="58">
        <v>0</v>
      </c>
      <c r="U56" s="58">
        <v>1.9199999999999998E-2</v>
      </c>
      <c r="V56" s="59">
        <v>1</v>
      </c>
      <c r="W56" s="58">
        <v>0.20219999999999999</v>
      </c>
      <c r="X56" s="58">
        <v>0.1724</v>
      </c>
      <c r="Y56" s="59">
        <v>3</v>
      </c>
      <c r="Z56" s="58">
        <v>0.44</v>
      </c>
      <c r="AA56" s="58">
        <v>0.25490000000000002</v>
      </c>
      <c r="AB56" s="59">
        <v>2</v>
      </c>
      <c r="AC56" s="58">
        <v>0.15290000000000001</v>
      </c>
      <c r="AD56" s="58">
        <v>0.1424</v>
      </c>
      <c r="AE56" s="59">
        <v>0</v>
      </c>
      <c r="AF56" s="58">
        <v>0.17899999999999999</v>
      </c>
      <c r="AG56" s="58">
        <v>5.8999999999999997E-2</v>
      </c>
      <c r="AH56" s="72"/>
      <c r="AI56" s="58">
        <v>0.64</v>
      </c>
      <c r="AJ56" s="58">
        <v>0.32</v>
      </c>
      <c r="AK56" s="58">
        <v>0.98360655737704905</v>
      </c>
      <c r="AL56" s="58">
        <v>0.96</v>
      </c>
      <c r="AM56" s="58">
        <v>0.97435897435897401</v>
      </c>
      <c r="AN56" s="58">
        <v>0.98360655737704905</v>
      </c>
      <c r="AO56" s="58">
        <v>0.93877551020408201</v>
      </c>
      <c r="AP56" s="58">
        <v>0.91428571428571404</v>
      </c>
      <c r="AQ56" s="58">
        <v>5.0847457627118599E-2</v>
      </c>
      <c r="AR56" s="58">
        <v>0</v>
      </c>
      <c r="AS56" s="58">
        <v>0.17142857142857101</v>
      </c>
      <c r="AT56" s="58">
        <v>3.3898305084745797E-2</v>
      </c>
      <c r="AU56" s="58">
        <v>0</v>
      </c>
      <c r="AV56" s="58">
        <v>0.13793103448275901</v>
      </c>
      <c r="AW56" s="58">
        <v>1</v>
      </c>
      <c r="AX56" s="58">
        <v>0</v>
      </c>
      <c r="AY56" s="58">
        <v>0</v>
      </c>
      <c r="AZ56" s="58">
        <v>1</v>
      </c>
      <c r="BA56" s="58">
        <v>0</v>
      </c>
      <c r="BB56" s="58">
        <v>0</v>
      </c>
      <c r="BC56" s="58">
        <v>0.16402857543073299</v>
      </c>
      <c r="BD56" s="58">
        <v>0.25390625</v>
      </c>
      <c r="BE56" s="58">
        <v>0.47330827067669201</v>
      </c>
      <c r="BF56" s="58">
        <v>0.127258719708643</v>
      </c>
      <c r="BG56" s="58">
        <v>9.0909090909090898E-2</v>
      </c>
      <c r="BH56" s="58">
        <v>0.24873563218390801</v>
      </c>
      <c r="BI56" s="58" t="s">
        <v>152</v>
      </c>
      <c r="BJ56" s="58" t="s">
        <v>152</v>
      </c>
      <c r="BK56" s="58">
        <v>0.75470000000000004</v>
      </c>
      <c r="BL56" s="58">
        <v>0.1724</v>
      </c>
      <c r="BM56" s="58">
        <v>7.7999999999999996E-3</v>
      </c>
      <c r="BN56" s="58">
        <v>0.18179999999999999</v>
      </c>
      <c r="BO56" s="58">
        <v>0.45450000000000002</v>
      </c>
      <c r="BP56" s="58">
        <v>0.33329999999999999</v>
      </c>
      <c r="BQ56" s="58">
        <v>0.21740000000000001</v>
      </c>
      <c r="BR56" s="58">
        <v>8.6999999999999994E-2</v>
      </c>
      <c r="BS56" s="58">
        <v>0</v>
      </c>
      <c r="BT56" s="58">
        <v>0</v>
      </c>
      <c r="BU56" s="58">
        <v>0</v>
      </c>
      <c r="BV56" s="58" t="s">
        <v>23</v>
      </c>
      <c r="BW56" s="58">
        <v>0.93220000000000003</v>
      </c>
      <c r="BX56" s="58">
        <v>0.59150000000000003</v>
      </c>
      <c r="BY56" s="58">
        <v>0.88519999999999999</v>
      </c>
      <c r="BZ56" s="58">
        <v>0.50700000000000001</v>
      </c>
      <c r="CA56" s="58">
        <v>0.96079999999999999</v>
      </c>
      <c r="CB56" s="58">
        <v>0.73240000000000005</v>
      </c>
      <c r="CC56" s="58">
        <v>1</v>
      </c>
      <c r="CD56" s="85" t="s">
        <v>2</v>
      </c>
      <c r="CE56" s="85" t="s">
        <v>2</v>
      </c>
      <c r="CF56" s="58">
        <v>1</v>
      </c>
      <c r="CG56" s="58">
        <v>1</v>
      </c>
      <c r="CH56" s="58">
        <v>1</v>
      </c>
      <c r="CI56" s="58">
        <v>0.25</v>
      </c>
      <c r="CJ56" s="58">
        <v>1</v>
      </c>
      <c r="CK56" s="58">
        <v>1</v>
      </c>
      <c r="CL56" s="60">
        <v>28</v>
      </c>
      <c r="CM56" s="61">
        <v>42</v>
      </c>
      <c r="CN56" s="4"/>
    </row>
    <row r="57" spans="1:92" x14ac:dyDescent="0.25">
      <c r="A57" s="1" t="s">
        <v>74</v>
      </c>
      <c r="B57" s="2" t="s">
        <v>205</v>
      </c>
      <c r="C57" s="2" t="s">
        <v>273</v>
      </c>
      <c r="D57" s="2" t="s">
        <v>153</v>
      </c>
      <c r="E57" s="3">
        <v>29063</v>
      </c>
      <c r="F57" s="59">
        <v>3</v>
      </c>
      <c r="G57" s="59">
        <v>3</v>
      </c>
      <c r="H57" s="59">
        <v>3</v>
      </c>
      <c r="I57" s="59">
        <v>3</v>
      </c>
      <c r="J57" s="59">
        <v>2</v>
      </c>
      <c r="K57" s="59">
        <v>3</v>
      </c>
      <c r="L57" s="59">
        <v>3</v>
      </c>
      <c r="M57" s="59">
        <v>3</v>
      </c>
      <c r="N57" s="58">
        <v>0.62809999999999999</v>
      </c>
      <c r="O57" s="58">
        <v>0.61809999999999998</v>
      </c>
      <c r="P57" s="59">
        <v>3</v>
      </c>
      <c r="Q57" s="58">
        <v>0.2218</v>
      </c>
      <c r="R57" s="58">
        <v>0.2535</v>
      </c>
      <c r="S57" s="59">
        <v>3</v>
      </c>
      <c r="T57" s="58">
        <v>0.22650000000000001</v>
      </c>
      <c r="U57" s="58">
        <v>0.20169999999999999</v>
      </c>
      <c r="V57" s="59">
        <v>3</v>
      </c>
      <c r="W57" s="58">
        <v>0.12859999999999999</v>
      </c>
      <c r="X57" s="58">
        <v>0.11219999999999999</v>
      </c>
      <c r="Y57" s="59">
        <v>0</v>
      </c>
      <c r="Z57" s="58">
        <v>0.29249999999999998</v>
      </c>
      <c r="AA57" s="58">
        <v>0.3775</v>
      </c>
      <c r="AB57" s="59">
        <v>2</v>
      </c>
      <c r="AC57" s="58">
        <v>8.1299999999999997E-2</v>
      </c>
      <c r="AD57" s="58">
        <v>0.13489999999999999</v>
      </c>
      <c r="AE57" s="59">
        <v>3</v>
      </c>
      <c r="AF57" s="58">
        <v>0.36199999999999999</v>
      </c>
      <c r="AG57" s="58">
        <v>0.36699999999999999</v>
      </c>
      <c r="AH57" s="72"/>
      <c r="AI57" s="58">
        <v>0.62809999999999999</v>
      </c>
      <c r="AJ57" s="58">
        <v>0.29749999999999999</v>
      </c>
      <c r="AK57" s="58">
        <v>0.98312236286919796</v>
      </c>
      <c r="AL57" s="58">
        <v>0.96478873239436602</v>
      </c>
      <c r="AM57" s="58">
        <v>0.986928104575163</v>
      </c>
      <c r="AN57" s="58">
        <v>0.99156118143459904</v>
      </c>
      <c r="AO57" s="58">
        <v>0.96478873239436602</v>
      </c>
      <c r="AP57" s="58">
        <v>0.96739130434782605</v>
      </c>
      <c r="AQ57" s="58">
        <v>0.31277533039647598</v>
      </c>
      <c r="AR57" s="58">
        <v>0.1484375</v>
      </c>
      <c r="AS57" s="58">
        <v>0.47058823529411797</v>
      </c>
      <c r="AT57" s="58">
        <v>0.25764192139738001</v>
      </c>
      <c r="AU57" s="58">
        <v>0.1015625</v>
      </c>
      <c r="AV57" s="58">
        <v>0.27950310559006197</v>
      </c>
      <c r="AW57" s="58">
        <v>0.33333333333333298</v>
      </c>
      <c r="AX57" s="58">
        <v>0.11111111111111099</v>
      </c>
      <c r="AY57" s="58">
        <v>0.33333333333333298</v>
      </c>
      <c r="AZ57" s="58">
        <v>0.33333333333333298</v>
      </c>
      <c r="BA57" s="58">
        <v>0.22222222222222199</v>
      </c>
      <c r="BB57" s="58">
        <v>0.58823529411764697</v>
      </c>
      <c r="BC57" s="58">
        <v>0.28804434173467203</v>
      </c>
      <c r="BD57" s="58">
        <v>0.39592340225563899</v>
      </c>
      <c r="BE57" s="58">
        <v>0.42796248934356401</v>
      </c>
      <c r="BF57" s="58">
        <v>0.22888869084751801</v>
      </c>
      <c r="BG57" s="58">
        <v>0.28807713963963999</v>
      </c>
      <c r="BH57" s="58">
        <v>0.27347702686026898</v>
      </c>
      <c r="BI57" s="58" t="s">
        <v>2</v>
      </c>
      <c r="BJ57" s="58" t="s">
        <v>2</v>
      </c>
      <c r="BK57" s="58">
        <v>0.72109999999999996</v>
      </c>
      <c r="BL57" s="58">
        <v>0.11219999999999999</v>
      </c>
      <c r="BM57" s="58">
        <v>3.5000000000000001E-3</v>
      </c>
      <c r="BN57" s="58">
        <v>6.6699999999999995E-2</v>
      </c>
      <c r="BO57" s="58">
        <v>0.7</v>
      </c>
      <c r="BP57" s="58">
        <v>0.5</v>
      </c>
      <c r="BQ57" s="58">
        <v>0.41099999999999998</v>
      </c>
      <c r="BR57" s="58">
        <v>0.1918</v>
      </c>
      <c r="BS57" s="58">
        <v>1.37E-2</v>
      </c>
      <c r="BT57" s="58">
        <v>0</v>
      </c>
      <c r="BU57" s="58">
        <v>1.37E-2</v>
      </c>
      <c r="BV57" s="58">
        <v>0</v>
      </c>
      <c r="BW57" s="58">
        <v>0.88429999999999997</v>
      </c>
      <c r="BX57" s="58">
        <v>0.56720000000000004</v>
      </c>
      <c r="BY57" s="58">
        <v>0.89659999999999995</v>
      </c>
      <c r="BZ57" s="58">
        <v>0.52239999999999998</v>
      </c>
      <c r="CA57" s="58">
        <v>0.94120000000000004</v>
      </c>
      <c r="CB57" s="58">
        <v>0.63429999999999997</v>
      </c>
      <c r="CC57" s="58">
        <v>0.97850000000000004</v>
      </c>
      <c r="CD57" s="85" t="s">
        <v>2</v>
      </c>
      <c r="CE57" s="85" t="s">
        <v>2</v>
      </c>
      <c r="CF57" s="58">
        <v>0.99339999999999995</v>
      </c>
      <c r="CG57" s="58">
        <v>1</v>
      </c>
      <c r="CH57" s="58">
        <v>1</v>
      </c>
      <c r="CI57" s="58">
        <v>0.28129999999999999</v>
      </c>
      <c r="CJ57" s="58">
        <v>0.625</v>
      </c>
      <c r="CK57" s="58">
        <v>0.75</v>
      </c>
      <c r="CL57" s="60">
        <v>37</v>
      </c>
      <c r="CM57" s="61">
        <v>42</v>
      </c>
      <c r="CN57" s="4"/>
    </row>
    <row r="58" spans="1:92" x14ac:dyDescent="0.25">
      <c r="A58" s="1" t="s">
        <v>75</v>
      </c>
      <c r="B58" s="2" t="s">
        <v>206</v>
      </c>
      <c r="C58" s="2" t="s">
        <v>75</v>
      </c>
      <c r="D58" s="2" t="s">
        <v>292</v>
      </c>
      <c r="E58" s="3">
        <v>29571</v>
      </c>
      <c r="F58" s="59">
        <v>3</v>
      </c>
      <c r="G58" s="59">
        <v>3</v>
      </c>
      <c r="H58" s="59">
        <v>2</v>
      </c>
      <c r="I58" s="59">
        <v>3</v>
      </c>
      <c r="J58" s="59">
        <v>3</v>
      </c>
      <c r="K58" s="59">
        <v>3</v>
      </c>
      <c r="L58" s="59">
        <v>3</v>
      </c>
      <c r="M58" s="59">
        <v>0</v>
      </c>
      <c r="N58" s="58">
        <v>0.43640000000000001</v>
      </c>
      <c r="O58" s="58">
        <v>0.42</v>
      </c>
      <c r="P58" s="59">
        <v>0</v>
      </c>
      <c r="Q58" s="58">
        <v>7.7799999999999994E-2</v>
      </c>
      <c r="R58" s="58">
        <v>2.2200000000000001E-2</v>
      </c>
      <c r="S58" s="59">
        <v>0</v>
      </c>
      <c r="T58" s="58">
        <v>3.3000000000000002E-2</v>
      </c>
      <c r="U58" s="58">
        <v>2.2200000000000001E-2</v>
      </c>
      <c r="V58" s="59">
        <v>3</v>
      </c>
      <c r="W58" s="58">
        <v>0.1198</v>
      </c>
      <c r="X58" s="58">
        <v>0.1139</v>
      </c>
      <c r="Y58" s="59">
        <v>3</v>
      </c>
      <c r="Z58" s="58">
        <v>0</v>
      </c>
      <c r="AA58" s="58">
        <v>0</v>
      </c>
      <c r="AB58" s="59">
        <v>0</v>
      </c>
      <c r="AC58" s="58">
        <v>8.7599999999999997E-2</v>
      </c>
      <c r="AD58" s="58">
        <v>0.29949999999999999</v>
      </c>
      <c r="AE58" s="59">
        <v>1</v>
      </c>
      <c r="AF58" s="58">
        <v>0.13100000000000001</v>
      </c>
      <c r="AG58" s="58">
        <v>0.21199999999999999</v>
      </c>
      <c r="AH58" s="72"/>
      <c r="AI58" s="58">
        <v>0.43640000000000001</v>
      </c>
      <c r="AJ58" s="58">
        <v>0.4909</v>
      </c>
      <c r="AK58" s="58">
        <v>0.97777777777777797</v>
      </c>
      <c r="AL58" s="58">
        <v>0.96428571428571397</v>
      </c>
      <c r="AM58" s="58">
        <v>0.96</v>
      </c>
      <c r="AN58" s="58">
        <v>0.97777777777777797</v>
      </c>
      <c r="AO58" s="58">
        <v>0.96428571428571397</v>
      </c>
      <c r="AP58" s="58">
        <v>0.96491228070175405</v>
      </c>
      <c r="AQ58" s="58">
        <v>0.05</v>
      </c>
      <c r="AR58" s="58">
        <v>0</v>
      </c>
      <c r="AS58" s="58">
        <v>0.28888888888888897</v>
      </c>
      <c r="AT58" s="58">
        <v>0.05</v>
      </c>
      <c r="AU58" s="58">
        <v>0</v>
      </c>
      <c r="AV58" s="58">
        <v>0.16666666666666699</v>
      </c>
      <c r="AW58" s="58">
        <v>0</v>
      </c>
      <c r="AX58" s="58">
        <v>0.25</v>
      </c>
      <c r="AY58" s="58">
        <v>0.66666666666666696</v>
      </c>
      <c r="AZ58" s="58">
        <v>0.5</v>
      </c>
      <c r="BA58" s="58">
        <v>0.5</v>
      </c>
      <c r="BB58" s="58">
        <v>0</v>
      </c>
      <c r="BC58" s="58">
        <v>0.193727598566308</v>
      </c>
      <c r="BD58" s="58">
        <v>0.200636942675159</v>
      </c>
      <c r="BE58" s="58">
        <v>0.44601043997017198</v>
      </c>
      <c r="BF58" s="58">
        <v>0.104121863799283</v>
      </c>
      <c r="BG58" s="58">
        <v>9.5846645367412095E-2</v>
      </c>
      <c r="BH58" s="58">
        <v>0.21527777777777801</v>
      </c>
      <c r="BI58" s="58" t="s">
        <v>2</v>
      </c>
      <c r="BJ58" s="58" t="s">
        <v>2</v>
      </c>
      <c r="BK58" s="58">
        <v>0.66169999999999995</v>
      </c>
      <c r="BL58" s="58">
        <v>0.1139</v>
      </c>
      <c r="BM58" s="58">
        <v>9.9000000000000008E-3</v>
      </c>
      <c r="BN58" s="58">
        <v>0.83330000000000004</v>
      </c>
      <c r="BO58" s="58" t="s">
        <v>23</v>
      </c>
      <c r="BP58" s="58">
        <v>1</v>
      </c>
      <c r="BQ58" s="58">
        <v>0.6875</v>
      </c>
      <c r="BR58" s="58">
        <v>0</v>
      </c>
      <c r="BS58" s="58">
        <v>0</v>
      </c>
      <c r="BT58" s="58">
        <v>0.16669999999999999</v>
      </c>
      <c r="BU58" s="58">
        <v>0</v>
      </c>
      <c r="BV58" s="58" t="s">
        <v>23</v>
      </c>
      <c r="BW58" s="58">
        <v>0.76</v>
      </c>
      <c r="BX58" s="58">
        <v>0.3846</v>
      </c>
      <c r="BY58" s="58">
        <v>0.78259999999999996</v>
      </c>
      <c r="BZ58" s="58">
        <v>0.30769999999999997</v>
      </c>
      <c r="CA58" s="58">
        <v>0.9</v>
      </c>
      <c r="CB58" s="58">
        <v>0.46150000000000002</v>
      </c>
      <c r="CC58" s="58">
        <v>1</v>
      </c>
      <c r="CD58" s="85" t="s">
        <v>2</v>
      </c>
      <c r="CE58" s="85" t="s">
        <v>2</v>
      </c>
      <c r="CF58" s="58">
        <v>1</v>
      </c>
      <c r="CG58" s="58">
        <v>1</v>
      </c>
      <c r="CH58" s="58">
        <v>1</v>
      </c>
      <c r="CI58" s="58">
        <v>0.1111</v>
      </c>
      <c r="CJ58" s="58">
        <v>0.44440000000000002</v>
      </c>
      <c r="CK58" s="58">
        <v>0.55559999999999998</v>
      </c>
      <c r="CL58" s="60">
        <v>27</v>
      </c>
      <c r="CM58" s="61">
        <v>42</v>
      </c>
      <c r="CN58" s="4"/>
    </row>
    <row r="59" spans="1:92" x14ac:dyDescent="0.25">
      <c r="A59" s="1" t="s">
        <v>76</v>
      </c>
      <c r="B59" s="2" t="s">
        <v>207</v>
      </c>
      <c r="C59" s="2" t="s">
        <v>274</v>
      </c>
      <c r="D59" s="2" t="s">
        <v>153</v>
      </c>
      <c r="E59" s="3">
        <v>29512</v>
      </c>
      <c r="F59" s="59">
        <v>3</v>
      </c>
      <c r="G59" s="59">
        <v>3</v>
      </c>
      <c r="H59" s="59">
        <v>3</v>
      </c>
      <c r="I59" s="59">
        <v>3</v>
      </c>
      <c r="J59" s="59">
        <v>3</v>
      </c>
      <c r="K59" s="59">
        <v>3</v>
      </c>
      <c r="L59" s="59">
        <v>3</v>
      </c>
      <c r="M59" s="59">
        <v>1</v>
      </c>
      <c r="N59" s="58">
        <v>0.13039999999999999</v>
      </c>
      <c r="O59" s="58">
        <v>0.4375</v>
      </c>
      <c r="P59" s="59">
        <v>1</v>
      </c>
      <c r="Q59" s="58">
        <v>0</v>
      </c>
      <c r="R59" s="58">
        <v>5.62E-2</v>
      </c>
      <c r="S59" s="59">
        <v>0</v>
      </c>
      <c r="T59" s="58">
        <v>0</v>
      </c>
      <c r="U59" s="58">
        <v>0</v>
      </c>
      <c r="V59" s="59">
        <v>0</v>
      </c>
      <c r="W59" s="58">
        <v>0.2848</v>
      </c>
      <c r="X59" s="58">
        <v>0.3034</v>
      </c>
      <c r="Y59" s="59">
        <v>1</v>
      </c>
      <c r="Z59" s="58">
        <v>0.66669999999999996</v>
      </c>
      <c r="AA59" s="58">
        <v>0.53849999999999998</v>
      </c>
      <c r="AB59" s="59">
        <v>2</v>
      </c>
      <c r="AC59" s="58">
        <v>3.8899999999999997E-2</v>
      </c>
      <c r="AD59" s="58">
        <v>0.13020000000000001</v>
      </c>
      <c r="AE59" s="59">
        <v>0</v>
      </c>
      <c r="AF59" s="58">
        <v>0.11899999999999999</v>
      </c>
      <c r="AG59" s="58">
        <v>0</v>
      </c>
      <c r="AH59" s="72"/>
      <c r="AI59" s="58">
        <v>0.13039999999999999</v>
      </c>
      <c r="AJ59" s="58">
        <v>0.6522</v>
      </c>
      <c r="AK59" s="58">
        <v>0.95652173913043503</v>
      </c>
      <c r="AL59" s="58">
        <v>0.92727272727272703</v>
      </c>
      <c r="AM59" s="58">
        <v>0.83870967741935498</v>
      </c>
      <c r="AN59" s="58">
        <v>0.95652173913043503</v>
      </c>
      <c r="AO59" s="58">
        <v>0.94545454545454499</v>
      </c>
      <c r="AP59" s="58">
        <v>0.96</v>
      </c>
      <c r="AQ59" s="58">
        <v>4.7619047619047603E-2</v>
      </c>
      <c r="AR59" s="58">
        <v>6.3829787234042507E-2</v>
      </c>
      <c r="AS59" s="58">
        <v>0.36</v>
      </c>
      <c r="AT59" s="58">
        <v>0</v>
      </c>
      <c r="AU59" s="58">
        <v>0</v>
      </c>
      <c r="AV59" s="58">
        <v>0.14285714285714299</v>
      </c>
      <c r="AW59" s="58">
        <v>0.5</v>
      </c>
      <c r="AX59" s="58">
        <v>0.25</v>
      </c>
      <c r="AY59" s="58">
        <v>0</v>
      </c>
      <c r="AZ59" s="58">
        <v>0.5</v>
      </c>
      <c r="BA59" s="58">
        <v>0.25</v>
      </c>
      <c r="BB59" s="58">
        <v>1</v>
      </c>
      <c r="BC59" s="58">
        <v>0.18283362727807201</v>
      </c>
      <c r="BD59" s="58">
        <v>0.23047401023431199</v>
      </c>
      <c r="BE59" s="58">
        <v>0.35111111111111099</v>
      </c>
      <c r="BF59" s="58">
        <v>0.18518518518518501</v>
      </c>
      <c r="BG59" s="58">
        <v>0.109375</v>
      </c>
      <c r="BH59" s="58">
        <v>0.27298444130127297</v>
      </c>
      <c r="BI59" s="58" t="s">
        <v>2</v>
      </c>
      <c r="BJ59" s="58" t="s">
        <v>2</v>
      </c>
      <c r="BK59" s="58">
        <v>0.59330000000000005</v>
      </c>
      <c r="BL59" s="58">
        <v>0.3034</v>
      </c>
      <c r="BM59" s="58">
        <v>1.7999999999999999E-2</v>
      </c>
      <c r="BN59" s="58">
        <v>9.0899999999999995E-2</v>
      </c>
      <c r="BO59" s="58">
        <v>0.81820000000000004</v>
      </c>
      <c r="BP59" s="58">
        <v>0.5625</v>
      </c>
      <c r="BQ59" s="58">
        <v>0.41670000000000001</v>
      </c>
      <c r="BR59" s="58">
        <v>0.58330000000000004</v>
      </c>
      <c r="BS59" s="58">
        <v>0</v>
      </c>
      <c r="BT59" s="58">
        <v>9.0899999999999995E-2</v>
      </c>
      <c r="BU59" s="58">
        <v>0</v>
      </c>
      <c r="BV59" s="58">
        <v>0</v>
      </c>
      <c r="BW59" s="58">
        <v>0.78259999999999996</v>
      </c>
      <c r="BX59" s="58">
        <v>0.42309999999999998</v>
      </c>
      <c r="BY59" s="58">
        <v>0.78259999999999996</v>
      </c>
      <c r="BZ59" s="58">
        <v>0.30769999999999997</v>
      </c>
      <c r="CA59" s="58">
        <v>0.68179999999999996</v>
      </c>
      <c r="CB59" s="58">
        <v>0.42309999999999998</v>
      </c>
      <c r="CC59" s="58">
        <v>1</v>
      </c>
      <c r="CD59" s="85" t="s">
        <v>2</v>
      </c>
      <c r="CE59" s="85" t="s">
        <v>2</v>
      </c>
      <c r="CF59" s="58">
        <v>1</v>
      </c>
      <c r="CG59" s="58">
        <v>1</v>
      </c>
      <c r="CH59" s="58">
        <v>1</v>
      </c>
      <c r="CI59" s="58">
        <v>0.2</v>
      </c>
      <c r="CJ59" s="58">
        <v>0.7</v>
      </c>
      <c r="CK59" s="58">
        <v>0.7</v>
      </c>
      <c r="CL59" s="60">
        <v>26</v>
      </c>
      <c r="CM59" s="61">
        <v>42</v>
      </c>
      <c r="CN59" s="4"/>
    </row>
    <row r="60" spans="1:92" x14ac:dyDescent="0.25">
      <c r="A60" s="1" t="s">
        <v>77</v>
      </c>
      <c r="B60" s="2" t="s">
        <v>208</v>
      </c>
      <c r="C60" s="2" t="s">
        <v>77</v>
      </c>
      <c r="D60" s="2" t="s">
        <v>153</v>
      </c>
      <c r="E60" s="3">
        <v>29835</v>
      </c>
      <c r="F60" s="59">
        <v>3</v>
      </c>
      <c r="G60" s="59">
        <v>3</v>
      </c>
      <c r="H60" s="59">
        <v>2</v>
      </c>
      <c r="I60" s="59">
        <v>3</v>
      </c>
      <c r="J60" s="59">
        <v>3</v>
      </c>
      <c r="K60" s="59">
        <v>3</v>
      </c>
      <c r="L60" s="59">
        <v>3</v>
      </c>
      <c r="M60" s="59">
        <v>3</v>
      </c>
      <c r="N60" s="58">
        <v>0.90910000000000002</v>
      </c>
      <c r="O60" s="58">
        <v>0.8</v>
      </c>
      <c r="P60" s="59">
        <v>1</v>
      </c>
      <c r="Q60" s="58">
        <v>9.0899999999999995E-2</v>
      </c>
      <c r="R60" s="58">
        <v>0.1</v>
      </c>
      <c r="S60" s="59">
        <v>1</v>
      </c>
      <c r="T60" s="58">
        <v>4.3499999999999997E-2</v>
      </c>
      <c r="U60" s="58">
        <v>0.1</v>
      </c>
      <c r="V60" s="59">
        <v>0</v>
      </c>
      <c r="W60" s="58">
        <v>0.188</v>
      </c>
      <c r="X60" s="58">
        <v>0.2</v>
      </c>
      <c r="Y60" s="59">
        <v>3</v>
      </c>
      <c r="Z60" s="58">
        <v>0</v>
      </c>
      <c r="AA60" s="58">
        <v>0</v>
      </c>
      <c r="AB60" s="59">
        <v>0</v>
      </c>
      <c r="AC60" s="58">
        <v>0.1026</v>
      </c>
      <c r="AD60" s="58">
        <v>0.19439999999999999</v>
      </c>
      <c r="AE60" s="59">
        <v>0</v>
      </c>
      <c r="AF60" s="58">
        <v>0.27300000000000002</v>
      </c>
      <c r="AG60" s="58">
        <v>0</v>
      </c>
      <c r="AH60" s="72"/>
      <c r="AI60" s="58">
        <v>0.90910000000000002</v>
      </c>
      <c r="AJ60" s="58">
        <v>9.0899999999999995E-2</v>
      </c>
      <c r="AK60" s="58">
        <v>1</v>
      </c>
      <c r="AL60" s="58">
        <v>1</v>
      </c>
      <c r="AM60" s="58">
        <v>0.90909090909090895</v>
      </c>
      <c r="AN60" s="58">
        <v>1</v>
      </c>
      <c r="AO60" s="58">
        <v>1</v>
      </c>
      <c r="AP60" s="58">
        <v>0.92857142857142905</v>
      </c>
      <c r="AQ60" s="58">
        <v>0.28571428571428598</v>
      </c>
      <c r="AR60" s="58">
        <v>0</v>
      </c>
      <c r="AS60" s="58">
        <v>0.6</v>
      </c>
      <c r="AT60" s="58">
        <v>0.28571428571428598</v>
      </c>
      <c r="AU60" s="58">
        <v>0</v>
      </c>
      <c r="AV60" s="58">
        <v>0</v>
      </c>
      <c r="AW60" s="58" t="s">
        <v>23</v>
      </c>
      <c r="AX60" s="58">
        <v>0</v>
      </c>
      <c r="AY60" s="58" t="s">
        <v>23</v>
      </c>
      <c r="AZ60" s="58" t="s">
        <v>23</v>
      </c>
      <c r="BA60" s="58">
        <v>0</v>
      </c>
      <c r="BB60" s="58" t="s">
        <v>23</v>
      </c>
      <c r="BC60" s="58">
        <v>-3.5714285714285698E-2</v>
      </c>
      <c r="BD60" s="58">
        <v>0.17647058823529399</v>
      </c>
      <c r="BE60" s="58">
        <v>0.22258064516129</v>
      </c>
      <c r="BF60" s="58">
        <v>-0.17857142857142899</v>
      </c>
      <c r="BG60" s="58">
        <v>4.4117647058823498E-2</v>
      </c>
      <c r="BH60" s="58">
        <v>0.2</v>
      </c>
      <c r="BI60" s="58" t="s">
        <v>2</v>
      </c>
      <c r="BJ60" s="58" t="s">
        <v>2</v>
      </c>
      <c r="BK60" s="58">
        <v>0.54290000000000005</v>
      </c>
      <c r="BL60" s="58">
        <v>0.2</v>
      </c>
      <c r="BM60" s="58">
        <v>1.9E-2</v>
      </c>
      <c r="BN60" s="58">
        <v>1</v>
      </c>
      <c r="BO60" s="58" t="s">
        <v>23</v>
      </c>
      <c r="BP60" s="58" t="s">
        <v>23</v>
      </c>
      <c r="BQ60" s="58">
        <v>0.5</v>
      </c>
      <c r="BR60" s="58" t="s">
        <v>23</v>
      </c>
      <c r="BS60" s="58">
        <v>0.5</v>
      </c>
      <c r="BT60" s="58" t="s">
        <v>23</v>
      </c>
      <c r="BU60" s="58">
        <v>0.5</v>
      </c>
      <c r="BV60" s="58" t="s">
        <v>23</v>
      </c>
      <c r="BW60" s="58">
        <v>1</v>
      </c>
      <c r="BX60" s="58">
        <v>0.5</v>
      </c>
      <c r="BY60" s="58">
        <v>1</v>
      </c>
      <c r="BZ60" s="58">
        <v>0.5</v>
      </c>
      <c r="CA60" s="58">
        <v>1</v>
      </c>
      <c r="CB60" s="58">
        <v>1</v>
      </c>
      <c r="CC60" s="58">
        <v>1</v>
      </c>
      <c r="CD60" s="85" t="s">
        <v>2</v>
      </c>
      <c r="CE60" s="85" t="s">
        <v>2</v>
      </c>
      <c r="CF60" s="58">
        <v>1</v>
      </c>
      <c r="CG60" s="58">
        <v>1</v>
      </c>
      <c r="CH60" s="58">
        <v>1</v>
      </c>
      <c r="CI60" s="58">
        <v>0.4</v>
      </c>
      <c r="CJ60" s="58">
        <v>0.8</v>
      </c>
      <c r="CK60" s="58">
        <v>1</v>
      </c>
      <c r="CL60" s="60">
        <v>25</v>
      </c>
      <c r="CM60" s="61">
        <v>42</v>
      </c>
      <c r="CN60" s="4"/>
    </row>
    <row r="61" spans="1:92" x14ac:dyDescent="0.25">
      <c r="A61" s="1" t="s">
        <v>78</v>
      </c>
      <c r="B61" s="2" t="s">
        <v>209</v>
      </c>
      <c r="C61" s="2" t="s">
        <v>78</v>
      </c>
      <c r="D61" s="2" t="s">
        <v>153</v>
      </c>
      <c r="E61" s="3">
        <v>29108</v>
      </c>
      <c r="F61" s="59">
        <v>3</v>
      </c>
      <c r="G61" s="59">
        <v>3</v>
      </c>
      <c r="H61" s="59">
        <v>2</v>
      </c>
      <c r="I61" s="59">
        <v>2</v>
      </c>
      <c r="J61" s="59">
        <v>3</v>
      </c>
      <c r="K61" s="59">
        <v>3</v>
      </c>
      <c r="L61" s="59">
        <v>3</v>
      </c>
      <c r="M61" s="59">
        <v>0</v>
      </c>
      <c r="N61" s="58">
        <v>0.125</v>
      </c>
      <c r="O61" s="58">
        <v>0</v>
      </c>
      <c r="P61" s="59">
        <v>0</v>
      </c>
      <c r="Q61" s="58">
        <v>0.1346</v>
      </c>
      <c r="R61" s="58">
        <v>5.6000000000000001E-2</v>
      </c>
      <c r="S61" s="59">
        <v>0</v>
      </c>
      <c r="T61" s="58">
        <v>0.17269999999999999</v>
      </c>
      <c r="U61" s="58">
        <v>5.6000000000000001E-2</v>
      </c>
      <c r="V61" s="59">
        <v>0</v>
      </c>
      <c r="W61" s="58">
        <v>0.16489999999999999</v>
      </c>
      <c r="X61" s="58">
        <v>0.1905</v>
      </c>
      <c r="Y61" s="59">
        <v>3</v>
      </c>
      <c r="Z61" s="58">
        <v>0.19350000000000001</v>
      </c>
      <c r="AA61" s="58">
        <v>0.2903</v>
      </c>
      <c r="AB61" s="59">
        <v>0</v>
      </c>
      <c r="AC61" s="58">
        <v>9.0499999999999997E-2</v>
      </c>
      <c r="AD61" s="58">
        <v>0.157</v>
      </c>
      <c r="AE61" s="59">
        <v>1</v>
      </c>
      <c r="AF61" s="58">
        <v>0.14299999999999999</v>
      </c>
      <c r="AG61" s="58">
        <v>0.17899999999999999</v>
      </c>
      <c r="AH61" s="72"/>
      <c r="AI61" s="58">
        <v>0.125</v>
      </c>
      <c r="AJ61" s="58">
        <v>0.71879999999999999</v>
      </c>
      <c r="AK61" s="58">
        <v>0.98245614035087703</v>
      </c>
      <c r="AL61" s="58">
        <v>1</v>
      </c>
      <c r="AM61" s="58">
        <v>0.97368421052631604</v>
      </c>
      <c r="AN61" s="58">
        <v>0.98245614035087703</v>
      </c>
      <c r="AO61" s="58">
        <v>1</v>
      </c>
      <c r="AP61" s="58">
        <v>0.95121951219512202</v>
      </c>
      <c r="AQ61" s="58">
        <v>0.13207547169811301</v>
      </c>
      <c r="AR61" s="58">
        <v>0</v>
      </c>
      <c r="AS61" s="58">
        <v>0.55555555555555602</v>
      </c>
      <c r="AT61" s="58">
        <v>9.4339622641509399E-2</v>
      </c>
      <c r="AU61" s="58">
        <v>2.7777777777777801E-2</v>
      </c>
      <c r="AV61" s="58">
        <v>0.31578947368421101</v>
      </c>
      <c r="AW61" s="58">
        <v>0</v>
      </c>
      <c r="AX61" s="58">
        <v>0</v>
      </c>
      <c r="AY61" s="58">
        <v>0</v>
      </c>
      <c r="AZ61" s="58">
        <v>0.33333333333333298</v>
      </c>
      <c r="BA61" s="58">
        <v>0</v>
      </c>
      <c r="BB61" s="58">
        <v>1</v>
      </c>
      <c r="BC61" s="58">
        <v>0.266401685662293</v>
      </c>
      <c r="BD61" s="58">
        <v>0.37316561844863699</v>
      </c>
      <c r="BE61" s="58">
        <v>0.28590785907859101</v>
      </c>
      <c r="BF61" s="58">
        <v>0.235609615937171</v>
      </c>
      <c r="BG61" s="58">
        <v>0.211215932914046</v>
      </c>
      <c r="BH61" s="58">
        <v>0.356829573934837</v>
      </c>
      <c r="BI61" s="58" t="s">
        <v>2</v>
      </c>
      <c r="BJ61" s="58" t="s">
        <v>2</v>
      </c>
      <c r="BK61" s="58">
        <v>0.70309999999999995</v>
      </c>
      <c r="BL61" s="58">
        <v>0.1905</v>
      </c>
      <c r="BM61" s="58">
        <v>1.12E-2</v>
      </c>
      <c r="BN61" s="58">
        <v>0.8</v>
      </c>
      <c r="BO61" s="58">
        <v>0.2</v>
      </c>
      <c r="BP61" s="58">
        <v>0.4</v>
      </c>
      <c r="BQ61" s="58">
        <v>0.42859999999999998</v>
      </c>
      <c r="BR61" s="58">
        <v>0.28570000000000001</v>
      </c>
      <c r="BS61" s="58">
        <v>9.5200000000000007E-2</v>
      </c>
      <c r="BT61" s="58" t="s">
        <v>23</v>
      </c>
      <c r="BU61" s="58">
        <v>9.5200000000000007E-2</v>
      </c>
      <c r="BV61" s="58" t="s">
        <v>23</v>
      </c>
      <c r="BW61" s="58">
        <v>0.88570000000000004</v>
      </c>
      <c r="BX61" s="58">
        <v>0.58140000000000003</v>
      </c>
      <c r="BY61" s="58">
        <v>0.89470000000000005</v>
      </c>
      <c r="BZ61" s="58">
        <v>0.4884</v>
      </c>
      <c r="CA61" s="58">
        <v>0.9677</v>
      </c>
      <c r="CB61" s="58">
        <v>0.6744</v>
      </c>
      <c r="CC61" s="58">
        <v>1</v>
      </c>
      <c r="CD61" s="85" t="s">
        <v>2</v>
      </c>
      <c r="CE61" s="85" t="s">
        <v>2</v>
      </c>
      <c r="CF61" s="58">
        <v>1</v>
      </c>
      <c r="CG61" s="58">
        <v>1</v>
      </c>
      <c r="CH61" s="58">
        <v>1</v>
      </c>
      <c r="CI61" s="58">
        <v>9.0899999999999995E-2</v>
      </c>
      <c r="CJ61" s="58">
        <v>0.63639999999999997</v>
      </c>
      <c r="CK61" s="58">
        <v>0.72729999999999995</v>
      </c>
      <c r="CL61" s="60">
        <v>23</v>
      </c>
      <c r="CM61" s="61">
        <v>42</v>
      </c>
      <c r="CN61" s="4"/>
    </row>
    <row r="62" spans="1:92" x14ac:dyDescent="0.25">
      <c r="A62" s="1" t="s">
        <v>79</v>
      </c>
      <c r="B62" s="2" t="s">
        <v>210</v>
      </c>
      <c r="C62" s="2" t="s">
        <v>275</v>
      </c>
      <c r="D62" s="2" t="s">
        <v>153</v>
      </c>
      <c r="E62" s="3">
        <v>29691</v>
      </c>
      <c r="F62" s="59">
        <v>3</v>
      </c>
      <c r="G62" s="59">
        <v>3</v>
      </c>
      <c r="H62" s="59">
        <v>3</v>
      </c>
      <c r="I62" s="59">
        <v>3</v>
      </c>
      <c r="J62" s="59">
        <v>2</v>
      </c>
      <c r="K62" s="59">
        <v>2</v>
      </c>
      <c r="L62" s="59">
        <v>3</v>
      </c>
      <c r="M62" s="59">
        <v>0</v>
      </c>
      <c r="N62" s="58">
        <v>0.52880000000000005</v>
      </c>
      <c r="O62" s="58">
        <v>0.28949999999999998</v>
      </c>
      <c r="P62" s="59">
        <v>2</v>
      </c>
      <c r="Q62" s="58">
        <v>9.6199999999999994E-2</v>
      </c>
      <c r="R62" s="58">
        <v>0.13750000000000001</v>
      </c>
      <c r="S62" s="59">
        <v>1</v>
      </c>
      <c r="T62" s="58">
        <v>0.10199999999999999</v>
      </c>
      <c r="U62" s="58">
        <v>0.10970000000000001</v>
      </c>
      <c r="V62" s="59">
        <v>1</v>
      </c>
      <c r="W62" s="58">
        <v>0.2198</v>
      </c>
      <c r="X62" s="58">
        <v>0.2</v>
      </c>
      <c r="Y62" s="59">
        <v>0</v>
      </c>
      <c r="Z62" s="58">
        <v>0.57940000000000003</v>
      </c>
      <c r="AA62" s="58">
        <v>0.627</v>
      </c>
      <c r="AB62" s="59">
        <v>2</v>
      </c>
      <c r="AC62" s="58">
        <v>9.8400000000000001E-2</v>
      </c>
      <c r="AD62" s="58">
        <v>0.13370000000000001</v>
      </c>
      <c r="AE62" s="59">
        <v>0</v>
      </c>
      <c r="AF62" s="58">
        <v>0.316</v>
      </c>
      <c r="AG62" s="58">
        <v>0.28100000000000003</v>
      </c>
      <c r="AH62" s="72"/>
      <c r="AI62" s="58">
        <v>0.52880000000000005</v>
      </c>
      <c r="AJ62" s="58">
        <v>0.32690000000000002</v>
      </c>
      <c r="AK62" s="58">
        <v>1</v>
      </c>
      <c r="AL62" s="58">
        <v>0.95857988165680497</v>
      </c>
      <c r="AM62" s="58">
        <v>1</v>
      </c>
      <c r="AN62" s="58">
        <v>1</v>
      </c>
      <c r="AO62" s="58">
        <v>0.95266272189349099</v>
      </c>
      <c r="AP62" s="58">
        <v>0.97945205479452102</v>
      </c>
      <c r="AQ62" s="58">
        <v>0.149700598802395</v>
      </c>
      <c r="AR62" s="58">
        <v>0.12418300653594801</v>
      </c>
      <c r="AS62" s="58">
        <v>0.36036036036036001</v>
      </c>
      <c r="AT62" s="58">
        <v>0.16167664670658699</v>
      </c>
      <c r="AU62" s="58">
        <v>5.2631578947368397E-2</v>
      </c>
      <c r="AV62" s="58">
        <v>0.28057553956834502</v>
      </c>
      <c r="AW62" s="58">
        <v>0.4</v>
      </c>
      <c r="AX62" s="58">
        <v>0</v>
      </c>
      <c r="AY62" s="58">
        <v>0.66666666666666696</v>
      </c>
      <c r="AZ62" s="58">
        <v>0.4</v>
      </c>
      <c r="BA62" s="58">
        <v>0.11111111111111099</v>
      </c>
      <c r="BB62" s="58">
        <v>0</v>
      </c>
      <c r="BC62" s="58">
        <v>0.33755152584349701</v>
      </c>
      <c r="BD62" s="58">
        <v>0.35602807525824798</v>
      </c>
      <c r="BE62" s="58">
        <v>0.49427623111833602</v>
      </c>
      <c r="BF62" s="58">
        <v>0.254164937451829</v>
      </c>
      <c r="BG62" s="58">
        <v>0.40910984585474203</v>
      </c>
      <c r="BH62" s="58">
        <v>0.31653521484578001</v>
      </c>
      <c r="BI62" s="58" t="s">
        <v>152</v>
      </c>
      <c r="BJ62" s="58" t="s">
        <v>152</v>
      </c>
      <c r="BK62" s="58">
        <v>0.59760000000000002</v>
      </c>
      <c r="BL62" s="58">
        <v>0.2</v>
      </c>
      <c r="BM62" s="58">
        <v>1.9E-2</v>
      </c>
      <c r="BN62" s="58">
        <v>2.2700000000000001E-2</v>
      </c>
      <c r="BO62" s="58">
        <v>0.72729999999999995</v>
      </c>
      <c r="BP62" s="58">
        <v>0.30769999999999997</v>
      </c>
      <c r="BQ62" s="58">
        <v>0.15939999999999999</v>
      </c>
      <c r="BR62" s="58">
        <v>0.60870000000000002</v>
      </c>
      <c r="BS62" s="58">
        <v>1.4500000000000001E-2</v>
      </c>
      <c r="BT62" s="58">
        <v>2.2700000000000001E-2</v>
      </c>
      <c r="BU62" s="58">
        <v>1.4500000000000001E-2</v>
      </c>
      <c r="BV62" s="58">
        <v>0</v>
      </c>
      <c r="BW62" s="58">
        <v>0.90090000000000003</v>
      </c>
      <c r="BX62" s="58">
        <v>0.625</v>
      </c>
      <c r="BY62" s="58">
        <v>0.8962</v>
      </c>
      <c r="BZ62" s="58">
        <v>0.625</v>
      </c>
      <c r="CA62" s="58">
        <v>0.88039999999999996</v>
      </c>
      <c r="CB62" s="58">
        <v>0.71089999999999998</v>
      </c>
      <c r="CC62" s="58">
        <v>1</v>
      </c>
      <c r="CD62" s="85" t="s">
        <v>2</v>
      </c>
      <c r="CE62" s="85" t="s">
        <v>2</v>
      </c>
      <c r="CF62" s="58">
        <v>0.99690000000000001</v>
      </c>
      <c r="CG62" s="58">
        <v>1</v>
      </c>
      <c r="CH62" s="58">
        <v>1</v>
      </c>
      <c r="CI62" s="58">
        <v>0</v>
      </c>
      <c r="CJ62" s="58">
        <v>0.64710000000000001</v>
      </c>
      <c r="CK62" s="58">
        <v>0.64710000000000001</v>
      </c>
      <c r="CL62" s="60">
        <v>25</v>
      </c>
      <c r="CM62" s="61">
        <v>42</v>
      </c>
      <c r="CN62" s="4"/>
    </row>
    <row r="63" spans="1:92" x14ac:dyDescent="0.25">
      <c r="A63" s="1" t="s">
        <v>80</v>
      </c>
      <c r="B63" s="2" t="s">
        <v>313</v>
      </c>
      <c r="C63" s="2" t="s">
        <v>80</v>
      </c>
      <c r="D63" s="2" t="s">
        <v>153</v>
      </c>
      <c r="E63" s="3">
        <v>29118</v>
      </c>
      <c r="F63" s="59">
        <v>3</v>
      </c>
      <c r="G63" s="59">
        <v>3</v>
      </c>
      <c r="H63" s="59">
        <v>3</v>
      </c>
      <c r="I63" s="59">
        <v>3</v>
      </c>
      <c r="J63" s="59">
        <v>1</v>
      </c>
      <c r="K63" s="59">
        <v>3</v>
      </c>
      <c r="L63" s="59">
        <v>3</v>
      </c>
      <c r="M63" s="59">
        <v>0</v>
      </c>
      <c r="N63" s="58">
        <v>0.3</v>
      </c>
      <c r="O63" s="58">
        <v>0.29409999999999997</v>
      </c>
      <c r="P63" s="59">
        <v>1</v>
      </c>
      <c r="Q63" s="58">
        <v>5.2600000000000001E-2</v>
      </c>
      <c r="R63" s="58">
        <v>6.25E-2</v>
      </c>
      <c r="S63" s="59">
        <v>0</v>
      </c>
      <c r="T63" s="58">
        <v>2.7E-2</v>
      </c>
      <c r="U63" s="58">
        <v>2.6800000000000001E-2</v>
      </c>
      <c r="V63" s="59">
        <v>0</v>
      </c>
      <c r="W63" s="58">
        <v>0.31430000000000002</v>
      </c>
      <c r="X63" s="58">
        <v>0.3488</v>
      </c>
      <c r="Y63" s="59">
        <v>3</v>
      </c>
      <c r="Z63" s="58">
        <v>0.24390000000000001</v>
      </c>
      <c r="AA63" s="58">
        <v>0.26919999999999999</v>
      </c>
      <c r="AB63" s="59">
        <v>3</v>
      </c>
      <c r="AC63" s="58">
        <v>0</v>
      </c>
      <c r="AD63" s="58">
        <v>4.9700000000000001E-2</v>
      </c>
      <c r="AE63" s="59">
        <v>1</v>
      </c>
      <c r="AF63" s="58">
        <v>0.11</v>
      </c>
      <c r="AG63" s="58">
        <v>0.188</v>
      </c>
      <c r="AH63" s="72"/>
      <c r="AI63" s="58">
        <v>0.3</v>
      </c>
      <c r="AJ63" s="58">
        <v>0.4375</v>
      </c>
      <c r="AK63" s="58">
        <v>1</v>
      </c>
      <c r="AL63" s="58">
        <v>0.98039215686274495</v>
      </c>
      <c r="AM63" s="58">
        <v>0.94047619047619002</v>
      </c>
      <c r="AN63" s="58">
        <v>1</v>
      </c>
      <c r="AO63" s="58">
        <v>0.98039215686274495</v>
      </c>
      <c r="AP63" s="58">
        <v>0.93396226415094297</v>
      </c>
      <c r="AQ63" s="58">
        <v>0.107142857142857</v>
      </c>
      <c r="AR63" s="58">
        <v>3.5714285714285698E-2</v>
      </c>
      <c r="AS63" s="58">
        <v>0.3</v>
      </c>
      <c r="AT63" s="58">
        <v>5.95238095238095E-2</v>
      </c>
      <c r="AU63" s="58">
        <v>7.14285714285714E-3</v>
      </c>
      <c r="AV63" s="58">
        <v>0.108695652173913</v>
      </c>
      <c r="AW63" s="58">
        <v>0.54545454545454497</v>
      </c>
      <c r="AX63" s="58">
        <v>0.3</v>
      </c>
      <c r="AY63" s="58">
        <v>0.22222222222222199</v>
      </c>
      <c r="AZ63" s="58">
        <v>0.54545454545454497</v>
      </c>
      <c r="BA63" s="58">
        <v>0.3</v>
      </c>
      <c r="BB63" s="58">
        <v>0.28571428571428598</v>
      </c>
      <c r="BC63" s="58">
        <v>0.144082633053221</v>
      </c>
      <c r="BD63" s="58">
        <v>0.22412823397075399</v>
      </c>
      <c r="BE63" s="58">
        <v>0.45788288288288298</v>
      </c>
      <c r="BF63" s="58">
        <v>6.4250700280112094E-2</v>
      </c>
      <c r="BG63" s="58">
        <v>8.3868378812198996E-2</v>
      </c>
      <c r="BH63" s="58">
        <v>0.25940986341361699</v>
      </c>
      <c r="BI63" s="58" t="s">
        <v>2</v>
      </c>
      <c r="BJ63" s="58" t="s">
        <v>2</v>
      </c>
      <c r="BK63" s="58">
        <v>0.46779999999999999</v>
      </c>
      <c r="BL63" s="58">
        <v>0.3488</v>
      </c>
      <c r="BM63" s="58">
        <v>1.0500000000000001E-2</v>
      </c>
      <c r="BN63" s="58">
        <v>0.33329999999999999</v>
      </c>
      <c r="BO63" s="58">
        <v>0.36670000000000003</v>
      </c>
      <c r="BP63" s="58">
        <v>0.83330000000000004</v>
      </c>
      <c r="BQ63" s="58">
        <v>0.75</v>
      </c>
      <c r="BR63" s="58">
        <v>0.125</v>
      </c>
      <c r="BS63" s="58">
        <v>6.25E-2</v>
      </c>
      <c r="BT63" s="58">
        <v>0.1</v>
      </c>
      <c r="BU63" s="58">
        <v>6.25E-2</v>
      </c>
      <c r="BV63" s="58" t="s">
        <v>23</v>
      </c>
      <c r="BW63" s="58">
        <v>0.96879999999999999</v>
      </c>
      <c r="BX63" s="58">
        <v>0.63890000000000002</v>
      </c>
      <c r="BY63" s="58">
        <v>0.94289999999999996</v>
      </c>
      <c r="BZ63" s="58">
        <v>0.52780000000000005</v>
      </c>
      <c r="CA63" s="58">
        <v>0.96150000000000002</v>
      </c>
      <c r="CB63" s="58">
        <v>0.83330000000000004</v>
      </c>
      <c r="CC63" s="58">
        <v>1</v>
      </c>
      <c r="CD63" s="85" t="s">
        <v>2</v>
      </c>
      <c r="CE63" s="85" t="s">
        <v>2</v>
      </c>
      <c r="CF63" s="58">
        <v>0.93279999999999996</v>
      </c>
      <c r="CG63" s="58">
        <v>0.85189999999999999</v>
      </c>
      <c r="CH63" s="58">
        <v>1</v>
      </c>
      <c r="CI63" s="58">
        <v>0.2727</v>
      </c>
      <c r="CJ63" s="58">
        <v>0.63639999999999997</v>
      </c>
      <c r="CK63" s="58">
        <v>0.77270000000000005</v>
      </c>
      <c r="CL63" s="60">
        <v>27</v>
      </c>
      <c r="CM63" s="61">
        <v>42</v>
      </c>
      <c r="CN63" s="4"/>
    </row>
    <row r="64" spans="1:92" x14ac:dyDescent="0.25">
      <c r="A64" s="1" t="s">
        <v>81</v>
      </c>
      <c r="B64" s="2" t="s">
        <v>211</v>
      </c>
      <c r="C64" s="2" t="s">
        <v>243</v>
      </c>
      <c r="D64" s="2" t="s">
        <v>153</v>
      </c>
      <c r="E64" s="3">
        <v>29210</v>
      </c>
      <c r="F64" s="59">
        <v>3</v>
      </c>
      <c r="G64" s="59">
        <v>3</v>
      </c>
      <c r="H64" s="59">
        <v>3</v>
      </c>
      <c r="I64" s="59">
        <v>3</v>
      </c>
      <c r="J64" s="59" t="s">
        <v>23</v>
      </c>
      <c r="K64" s="59">
        <v>3</v>
      </c>
      <c r="L64" s="59">
        <v>3</v>
      </c>
      <c r="M64" s="59" t="s">
        <v>23</v>
      </c>
      <c r="N64" s="58" t="s">
        <v>23</v>
      </c>
      <c r="O64" s="58" t="s">
        <v>23</v>
      </c>
      <c r="P64" s="59" t="s">
        <v>23</v>
      </c>
      <c r="Q64" s="58" t="s">
        <v>23</v>
      </c>
      <c r="R64" s="58" t="s">
        <v>23</v>
      </c>
      <c r="S64" s="59" t="s">
        <v>23</v>
      </c>
      <c r="T64" s="58" t="s">
        <v>23</v>
      </c>
      <c r="U64" s="58" t="s">
        <v>23</v>
      </c>
      <c r="V64" s="59" t="s">
        <v>23</v>
      </c>
      <c r="W64" s="58">
        <v>0</v>
      </c>
      <c r="X64" s="58" t="s">
        <v>23</v>
      </c>
      <c r="Y64" s="59" t="s">
        <v>23</v>
      </c>
      <c r="Z64" s="58" t="s">
        <v>23</v>
      </c>
      <c r="AA64" s="58">
        <v>0</v>
      </c>
      <c r="AB64" s="59" t="s">
        <v>23</v>
      </c>
      <c r="AC64" s="58">
        <v>0</v>
      </c>
      <c r="AD64" s="58">
        <v>0</v>
      </c>
      <c r="AE64" s="59" t="s">
        <v>23</v>
      </c>
      <c r="AF64" s="58" t="s">
        <v>23</v>
      </c>
      <c r="AG64" s="58" t="s">
        <v>23</v>
      </c>
      <c r="AH64" s="72"/>
      <c r="AI64" s="58">
        <v>0</v>
      </c>
      <c r="AJ64" s="58">
        <v>0.26029999999999998</v>
      </c>
      <c r="AK64" s="58" t="s">
        <v>23</v>
      </c>
      <c r="AL64" s="58" t="s">
        <v>23</v>
      </c>
      <c r="AM64" s="58">
        <v>0</v>
      </c>
      <c r="AN64" s="58" t="s">
        <v>23</v>
      </c>
      <c r="AO64" s="58" t="s">
        <v>23</v>
      </c>
      <c r="AP64" s="58">
        <v>1</v>
      </c>
      <c r="AQ64" s="58" t="s">
        <v>23</v>
      </c>
      <c r="AR64" s="58" t="s">
        <v>23</v>
      </c>
      <c r="AS64" s="58" t="s">
        <v>23</v>
      </c>
      <c r="AT64" s="58" t="s">
        <v>23</v>
      </c>
      <c r="AU64" s="58" t="s">
        <v>23</v>
      </c>
      <c r="AV64" s="58">
        <v>0</v>
      </c>
      <c r="AW64" s="58" t="s">
        <v>23</v>
      </c>
      <c r="AX64" s="58" t="s">
        <v>23</v>
      </c>
      <c r="AY64" s="58" t="s">
        <v>23</v>
      </c>
      <c r="AZ64" s="58" t="s">
        <v>23</v>
      </c>
      <c r="BA64" s="58" t="s">
        <v>23</v>
      </c>
      <c r="BB64" s="58" t="s">
        <v>23</v>
      </c>
      <c r="BC64" s="58" t="s">
        <v>23</v>
      </c>
      <c r="BD64" s="58" t="s">
        <v>23</v>
      </c>
      <c r="BE64" s="58" t="s">
        <v>23</v>
      </c>
      <c r="BF64" s="58" t="s">
        <v>23</v>
      </c>
      <c r="BG64" s="58" t="s">
        <v>23</v>
      </c>
      <c r="BH64" s="58">
        <v>0</v>
      </c>
      <c r="BI64" s="58" t="s">
        <v>2</v>
      </c>
      <c r="BJ64" s="58" t="s">
        <v>2</v>
      </c>
      <c r="BK64" s="58">
        <v>0</v>
      </c>
      <c r="BL64" s="58">
        <v>0</v>
      </c>
      <c r="BM64" s="58">
        <v>0</v>
      </c>
      <c r="BN64" s="58" t="s">
        <v>23</v>
      </c>
      <c r="BO64" s="58" t="s">
        <v>23</v>
      </c>
      <c r="BP64" s="58" t="s">
        <v>23</v>
      </c>
      <c r="BQ64" s="58" t="s">
        <v>23</v>
      </c>
      <c r="BR64" s="58" t="s">
        <v>23</v>
      </c>
      <c r="BS64" s="58" t="s">
        <v>23</v>
      </c>
      <c r="BT64" s="58" t="s">
        <v>23</v>
      </c>
      <c r="BU64" s="58" t="s">
        <v>23</v>
      </c>
      <c r="BV64" s="58" t="s">
        <v>23</v>
      </c>
      <c r="BW64" s="58" t="s">
        <v>23</v>
      </c>
      <c r="BX64" s="58" t="s">
        <v>23</v>
      </c>
      <c r="BY64" s="58" t="s">
        <v>23</v>
      </c>
      <c r="BZ64" s="58" t="s">
        <v>23</v>
      </c>
      <c r="CA64" s="58" t="s">
        <v>23</v>
      </c>
      <c r="CB64" s="58" t="s">
        <v>23</v>
      </c>
      <c r="CC64" s="58" t="s">
        <v>23</v>
      </c>
      <c r="CD64" s="85" t="s">
        <v>2</v>
      </c>
      <c r="CE64" s="85" t="s">
        <v>2</v>
      </c>
      <c r="CF64" s="58" t="s">
        <v>23</v>
      </c>
      <c r="CG64" s="58" t="s">
        <v>23</v>
      </c>
      <c r="CH64" s="58">
        <v>1</v>
      </c>
      <c r="CI64" s="58" t="s">
        <v>23</v>
      </c>
      <c r="CJ64" s="58" t="s">
        <v>23</v>
      </c>
      <c r="CK64" s="58" t="s">
        <v>23</v>
      </c>
      <c r="CL64" s="60">
        <v>18</v>
      </c>
      <c r="CM64" s="61">
        <v>18</v>
      </c>
      <c r="CN64" s="4"/>
    </row>
    <row r="65" spans="1:92" x14ac:dyDescent="0.25">
      <c r="A65" s="1" t="s">
        <v>82</v>
      </c>
      <c r="B65" s="2" t="s">
        <v>212</v>
      </c>
      <c r="C65" s="2" t="s">
        <v>276</v>
      </c>
      <c r="D65" s="2" t="s">
        <v>153</v>
      </c>
      <c r="E65" s="3">
        <v>29640</v>
      </c>
      <c r="F65" s="59">
        <v>3</v>
      </c>
      <c r="G65" s="59">
        <v>3</v>
      </c>
      <c r="H65" s="59">
        <v>3</v>
      </c>
      <c r="I65" s="59">
        <v>3</v>
      </c>
      <c r="J65" s="59">
        <v>3</v>
      </c>
      <c r="K65" s="59">
        <v>3</v>
      </c>
      <c r="L65" s="59">
        <v>3</v>
      </c>
      <c r="M65" s="59">
        <v>0</v>
      </c>
      <c r="N65" s="58">
        <v>0.54920000000000002</v>
      </c>
      <c r="O65" s="58">
        <v>0.51449999999999996</v>
      </c>
      <c r="P65" s="59">
        <v>1</v>
      </c>
      <c r="Q65" s="58">
        <v>8.9800000000000005E-2</v>
      </c>
      <c r="R65" s="58">
        <v>0.1195</v>
      </c>
      <c r="S65" s="59">
        <v>1</v>
      </c>
      <c r="T65" s="58">
        <v>9.6299999999999997E-2</v>
      </c>
      <c r="U65" s="58">
        <v>0.11169999999999999</v>
      </c>
      <c r="V65" s="59">
        <v>3</v>
      </c>
      <c r="W65" s="58">
        <v>0.13389999999999999</v>
      </c>
      <c r="X65" s="58">
        <v>0.13139999999999999</v>
      </c>
      <c r="Y65" s="59">
        <v>1</v>
      </c>
      <c r="Z65" s="58">
        <v>0.5333</v>
      </c>
      <c r="AA65" s="58">
        <v>0.47710000000000002</v>
      </c>
      <c r="AB65" s="59">
        <v>2</v>
      </c>
      <c r="AC65" s="58">
        <v>9.6000000000000002E-2</v>
      </c>
      <c r="AD65" s="58">
        <v>0.1273</v>
      </c>
      <c r="AE65" s="59">
        <v>3</v>
      </c>
      <c r="AF65" s="58">
        <v>0.311</v>
      </c>
      <c r="AG65" s="58">
        <v>0.47199999999999998</v>
      </c>
      <c r="AH65" s="72"/>
      <c r="AI65" s="58">
        <v>0.54920000000000002</v>
      </c>
      <c r="AJ65" s="58">
        <v>0.4098</v>
      </c>
      <c r="AK65" s="58">
        <v>0.99591836734693895</v>
      </c>
      <c r="AL65" s="58">
        <v>0.97435897435897401</v>
      </c>
      <c r="AM65" s="58">
        <v>0.968354430379747</v>
      </c>
      <c r="AN65" s="58">
        <v>0.99593495934959397</v>
      </c>
      <c r="AO65" s="58">
        <v>0.97435897435897401</v>
      </c>
      <c r="AP65" s="58">
        <v>0.92258064516129001</v>
      </c>
      <c r="AQ65" s="58">
        <v>0.163793103448276</v>
      </c>
      <c r="AR65" s="58">
        <v>6.1797752808988797E-2</v>
      </c>
      <c r="AS65" s="58">
        <v>0.447552447552448</v>
      </c>
      <c r="AT65" s="58">
        <v>0.175965665236052</v>
      </c>
      <c r="AU65" s="58">
        <v>2.7932960893854698E-2</v>
      </c>
      <c r="AV65" s="58">
        <v>0.24444444444444399</v>
      </c>
      <c r="AW65" s="58">
        <v>0.25</v>
      </c>
      <c r="AX65" s="58">
        <v>0.25</v>
      </c>
      <c r="AY65" s="58">
        <v>0.3</v>
      </c>
      <c r="AZ65" s="58">
        <v>0.41666666666666702</v>
      </c>
      <c r="BA65" s="58">
        <v>0.18181818181818199</v>
      </c>
      <c r="BB65" s="58">
        <v>0.125</v>
      </c>
      <c r="BC65" s="58">
        <v>0.379231123786478</v>
      </c>
      <c r="BD65" s="58">
        <v>0.407047231993443</v>
      </c>
      <c r="BE65" s="58">
        <v>0.417171020310034</v>
      </c>
      <c r="BF65" s="58">
        <v>0.30149677215960802</v>
      </c>
      <c r="BG65" s="58">
        <v>0.33355866772106202</v>
      </c>
      <c r="BH65" s="58">
        <v>0.26843611761644498</v>
      </c>
      <c r="BI65" s="58" t="s">
        <v>2</v>
      </c>
      <c r="BJ65" s="58" t="s">
        <v>2</v>
      </c>
      <c r="BK65" s="58">
        <v>0.68469999999999998</v>
      </c>
      <c r="BL65" s="58">
        <v>0.13139999999999999</v>
      </c>
      <c r="BM65" s="58">
        <v>1.3299999999999999E-2</v>
      </c>
      <c r="BN65" s="58">
        <v>8.5699999999999998E-2</v>
      </c>
      <c r="BO65" s="58">
        <v>0.51429999999999998</v>
      </c>
      <c r="BP65" s="58">
        <v>0.42859999999999998</v>
      </c>
      <c r="BQ65" s="58">
        <v>0.31669999999999998</v>
      </c>
      <c r="BR65" s="58">
        <v>0.45</v>
      </c>
      <c r="BS65" s="58">
        <v>0</v>
      </c>
      <c r="BT65" s="58">
        <v>0</v>
      </c>
      <c r="BU65" s="58">
        <v>0</v>
      </c>
      <c r="BV65" s="58">
        <v>0</v>
      </c>
      <c r="BW65" s="58">
        <v>0.82950000000000002</v>
      </c>
      <c r="BX65" s="58">
        <v>0.53569999999999995</v>
      </c>
      <c r="BY65" s="58">
        <v>0.83740000000000003</v>
      </c>
      <c r="BZ65" s="58">
        <v>0.54290000000000005</v>
      </c>
      <c r="CA65" s="58">
        <v>0.85189999999999999</v>
      </c>
      <c r="CB65" s="58">
        <v>0.7</v>
      </c>
      <c r="CC65" s="58">
        <v>0.78569999999999995</v>
      </c>
      <c r="CD65" s="85" t="s">
        <v>2</v>
      </c>
      <c r="CE65" s="85" t="s">
        <v>2</v>
      </c>
      <c r="CF65" s="58">
        <v>1</v>
      </c>
      <c r="CG65" s="58">
        <v>1</v>
      </c>
      <c r="CH65" s="58">
        <v>1</v>
      </c>
      <c r="CI65" s="58">
        <v>0.13159999999999999</v>
      </c>
      <c r="CJ65" s="58">
        <v>0.63160000000000005</v>
      </c>
      <c r="CK65" s="58">
        <v>0.76319999999999999</v>
      </c>
      <c r="CL65" s="60">
        <v>32</v>
      </c>
      <c r="CM65" s="61">
        <v>42</v>
      </c>
      <c r="CN65" s="4"/>
    </row>
    <row r="66" spans="1:92" x14ac:dyDescent="0.25">
      <c r="A66" s="1" t="s">
        <v>83</v>
      </c>
      <c r="B66" s="2" t="s">
        <v>213</v>
      </c>
      <c r="C66" s="2" t="s">
        <v>277</v>
      </c>
      <c r="D66" s="2" t="s">
        <v>153</v>
      </c>
      <c r="E66" s="3">
        <v>29204</v>
      </c>
      <c r="F66" s="59">
        <v>3</v>
      </c>
      <c r="G66" s="59">
        <v>3</v>
      </c>
      <c r="H66" s="59">
        <v>3</v>
      </c>
      <c r="I66" s="59">
        <v>3</v>
      </c>
      <c r="J66" s="59">
        <v>2</v>
      </c>
      <c r="K66" s="59">
        <v>3</v>
      </c>
      <c r="L66" s="59">
        <v>3</v>
      </c>
      <c r="M66" s="59">
        <v>0</v>
      </c>
      <c r="N66" s="58">
        <v>0.47949999999999998</v>
      </c>
      <c r="O66" s="58">
        <v>0.4249</v>
      </c>
      <c r="P66" s="59">
        <v>1</v>
      </c>
      <c r="Q66" s="58">
        <v>7.6700000000000004E-2</v>
      </c>
      <c r="R66" s="60">
        <v>0.10580000000000001</v>
      </c>
      <c r="S66" s="59">
        <v>1</v>
      </c>
      <c r="T66" s="58">
        <v>5.0599999999999999E-2</v>
      </c>
      <c r="U66" s="60">
        <v>5.7700000000000001E-2</v>
      </c>
      <c r="V66" s="59">
        <v>2</v>
      </c>
      <c r="W66" s="58">
        <v>0.16109999999999999</v>
      </c>
      <c r="X66" s="58">
        <v>0.1444</v>
      </c>
      <c r="Y66" s="59">
        <v>0</v>
      </c>
      <c r="Z66" s="58">
        <v>0.46239999999999998</v>
      </c>
      <c r="AA66" s="58">
        <v>0.57720000000000005</v>
      </c>
      <c r="AB66" s="59">
        <v>2</v>
      </c>
      <c r="AC66" s="60">
        <v>5.6000000000000001E-2</v>
      </c>
      <c r="AD66" s="60">
        <v>0.15140000000000001</v>
      </c>
      <c r="AE66" s="59">
        <v>1</v>
      </c>
      <c r="AF66" s="58">
        <v>0.112</v>
      </c>
      <c r="AG66" s="58">
        <v>0.17</v>
      </c>
      <c r="AH66" s="72"/>
      <c r="AI66" s="58">
        <v>0.47949999999999998</v>
      </c>
      <c r="AJ66" s="58">
        <v>0.2787</v>
      </c>
      <c r="AK66" s="58">
        <v>1</v>
      </c>
      <c r="AL66" s="58">
        <v>0.96907216494845405</v>
      </c>
      <c r="AM66" s="58">
        <v>0.90995260663507105</v>
      </c>
      <c r="AN66" s="58">
        <v>0.99130434782608701</v>
      </c>
      <c r="AO66" s="58">
        <v>0.98281786941580795</v>
      </c>
      <c r="AP66" s="58">
        <v>0.92015209125475295</v>
      </c>
      <c r="AQ66" s="58">
        <v>0.134259259259259</v>
      </c>
      <c r="AR66" s="58">
        <v>8.2706766917293201E-2</v>
      </c>
      <c r="AS66" s="58">
        <v>0.315217391304348</v>
      </c>
      <c r="AT66" s="58">
        <v>9.7674418604651203E-2</v>
      </c>
      <c r="AU66" s="58">
        <v>2.5925925925925901E-2</v>
      </c>
      <c r="AV66" s="58">
        <v>0.157446808510638</v>
      </c>
      <c r="AW66" s="58">
        <v>0.42857142857142899</v>
      </c>
      <c r="AX66" s="58">
        <v>0.5625</v>
      </c>
      <c r="AY66" s="58">
        <v>0.125</v>
      </c>
      <c r="AZ66" s="58">
        <v>0.30769230769230799</v>
      </c>
      <c r="BA66" s="58">
        <v>0.4375</v>
      </c>
      <c r="BB66" s="58">
        <v>0.14285714285714299</v>
      </c>
      <c r="BC66" s="58">
        <v>0.230771415587366</v>
      </c>
      <c r="BD66" s="58">
        <v>0.28092959671906997</v>
      </c>
      <c r="BE66" s="58">
        <v>0.43637948591353698</v>
      </c>
      <c r="BF66" s="58">
        <v>0.184707410738504</v>
      </c>
      <c r="BG66" s="58">
        <v>0.18827455140104299</v>
      </c>
      <c r="BH66" s="58">
        <v>0.212806356046324</v>
      </c>
      <c r="BI66" s="58" t="s">
        <v>2</v>
      </c>
      <c r="BJ66" s="58" t="s">
        <v>2</v>
      </c>
      <c r="BK66" s="58">
        <v>0.57509999999999994</v>
      </c>
      <c r="BL66" s="58">
        <v>0.1444</v>
      </c>
      <c r="BM66" s="58">
        <v>2.8799999999999999E-2</v>
      </c>
      <c r="BN66" s="58">
        <v>5.1700000000000003E-2</v>
      </c>
      <c r="BO66" s="58">
        <v>0.79310000000000003</v>
      </c>
      <c r="BP66" s="58">
        <v>0.33329999999999999</v>
      </c>
      <c r="BQ66" s="58">
        <v>0.53569999999999995</v>
      </c>
      <c r="BR66" s="58">
        <v>0.375</v>
      </c>
      <c r="BS66" s="58">
        <v>1.7899999999999999E-2</v>
      </c>
      <c r="BT66" s="58">
        <v>0</v>
      </c>
      <c r="BU66" s="58">
        <v>1.7899999999999999E-2</v>
      </c>
      <c r="BV66" s="58" t="s">
        <v>23</v>
      </c>
      <c r="BW66" s="58">
        <v>0.77939999999999998</v>
      </c>
      <c r="BX66" s="58">
        <v>0.40789999999999998</v>
      </c>
      <c r="BY66" s="58">
        <v>0.75</v>
      </c>
      <c r="BZ66" s="58">
        <v>0.38159999999999999</v>
      </c>
      <c r="CA66" s="58">
        <v>0.70309999999999995</v>
      </c>
      <c r="CB66" s="58">
        <v>0.51319999999999999</v>
      </c>
      <c r="CC66" s="58">
        <v>1</v>
      </c>
      <c r="CD66" s="85" t="s">
        <v>2</v>
      </c>
      <c r="CE66" s="85" t="s">
        <v>2</v>
      </c>
      <c r="CF66" s="58">
        <v>0.95689999999999997</v>
      </c>
      <c r="CG66" s="58">
        <v>1</v>
      </c>
      <c r="CH66" s="58">
        <v>1</v>
      </c>
      <c r="CI66" s="58">
        <v>0.1731</v>
      </c>
      <c r="CJ66" s="58">
        <v>0.61539999999999995</v>
      </c>
      <c r="CK66" s="58">
        <v>0.73080000000000001</v>
      </c>
      <c r="CL66" s="60">
        <v>27</v>
      </c>
      <c r="CM66" s="61">
        <v>42</v>
      </c>
      <c r="CN66" s="4"/>
    </row>
    <row r="67" spans="1:92" x14ac:dyDescent="0.25">
      <c r="A67" s="1" t="s">
        <v>84</v>
      </c>
      <c r="B67" s="2" t="s">
        <v>214</v>
      </c>
      <c r="C67" s="2" t="s">
        <v>243</v>
      </c>
      <c r="D67" s="2" t="s">
        <v>153</v>
      </c>
      <c r="E67" s="3">
        <v>29223</v>
      </c>
      <c r="F67" s="59">
        <v>3</v>
      </c>
      <c r="G67" s="59">
        <v>1</v>
      </c>
      <c r="H67" s="59">
        <v>2</v>
      </c>
      <c r="I67" s="59">
        <v>2</v>
      </c>
      <c r="J67" s="59">
        <v>2</v>
      </c>
      <c r="K67" s="59">
        <v>3</v>
      </c>
      <c r="L67" s="59">
        <v>3</v>
      </c>
      <c r="M67" s="59">
        <v>3</v>
      </c>
      <c r="N67" s="58">
        <v>0.66839999999999999</v>
      </c>
      <c r="O67" s="58">
        <v>0.63390000000000002</v>
      </c>
      <c r="P67" s="59">
        <v>2</v>
      </c>
      <c r="Q67" s="58">
        <v>0.12239999999999999</v>
      </c>
      <c r="R67" s="58">
        <v>0.1386</v>
      </c>
      <c r="S67" s="59">
        <v>2</v>
      </c>
      <c r="T67" s="58">
        <v>0.1101</v>
      </c>
      <c r="U67" s="58">
        <v>0.1178</v>
      </c>
      <c r="V67" s="59">
        <v>0</v>
      </c>
      <c r="W67" s="58">
        <v>0.15440000000000001</v>
      </c>
      <c r="X67" s="58">
        <v>0.16009999999999999</v>
      </c>
      <c r="Y67" s="59">
        <v>3</v>
      </c>
      <c r="Z67" s="58">
        <v>0.25430000000000003</v>
      </c>
      <c r="AA67" s="58">
        <v>0.24</v>
      </c>
      <c r="AB67" s="59">
        <v>0</v>
      </c>
      <c r="AC67" s="58">
        <v>2.87E-2</v>
      </c>
      <c r="AD67" s="58">
        <v>0.17030000000000001</v>
      </c>
      <c r="AE67" s="59">
        <v>3</v>
      </c>
      <c r="AF67" s="58">
        <v>0.224</v>
      </c>
      <c r="AG67" s="58">
        <v>0.38600000000000001</v>
      </c>
      <c r="AH67" s="72"/>
      <c r="AI67" s="58">
        <v>0.66839999999999999</v>
      </c>
      <c r="AJ67" s="58">
        <v>0.21579999999999999</v>
      </c>
      <c r="AK67" s="58">
        <v>0.99679487179487203</v>
      </c>
      <c r="AL67" s="58">
        <v>0.94736842105263197</v>
      </c>
      <c r="AM67" s="58">
        <v>0.935622317596567</v>
      </c>
      <c r="AN67" s="58">
        <v>0.99678456591639897</v>
      </c>
      <c r="AO67" s="58">
        <v>0.95070422535211296</v>
      </c>
      <c r="AP67" s="58">
        <v>0.947712418300654</v>
      </c>
      <c r="AQ67" s="58">
        <v>0.19723183391003499</v>
      </c>
      <c r="AR67" s="58">
        <v>6.9387755102040802E-2</v>
      </c>
      <c r="AS67" s="58">
        <v>0.47761194029850701</v>
      </c>
      <c r="AT67" s="58">
        <v>0.17708333333333301</v>
      </c>
      <c r="AU67" s="58">
        <v>4.8582995951416998E-2</v>
      </c>
      <c r="AV67" s="58">
        <v>0.33584905660377401</v>
      </c>
      <c r="AW67" s="58">
        <v>0.5</v>
      </c>
      <c r="AX67" s="58">
        <v>0.16</v>
      </c>
      <c r="AY67" s="58">
        <v>0.41176470588235298</v>
      </c>
      <c r="AZ67" s="58">
        <v>0.5</v>
      </c>
      <c r="BA67" s="58">
        <v>0.26086956521739102</v>
      </c>
      <c r="BB67" s="58">
        <v>0.2</v>
      </c>
      <c r="BC67" s="58">
        <v>0.35902118395573102</v>
      </c>
      <c r="BD67" s="58">
        <v>0.43332717702465601</v>
      </c>
      <c r="BE67" s="58">
        <v>0.38869092464010102</v>
      </c>
      <c r="BF67" s="58">
        <v>0.28088768115941998</v>
      </c>
      <c r="BG67" s="58">
        <v>0.264085467660443</v>
      </c>
      <c r="BH67" s="58">
        <v>0.25731698717625801</v>
      </c>
      <c r="BI67" s="58" t="s">
        <v>2</v>
      </c>
      <c r="BJ67" s="58" t="s">
        <v>2</v>
      </c>
      <c r="BK67" s="58">
        <v>0.65469999999999995</v>
      </c>
      <c r="BL67" s="58">
        <v>0.16009999999999999</v>
      </c>
      <c r="BM67" s="58">
        <v>7.4000000000000003E-3</v>
      </c>
      <c r="BN67" s="58">
        <v>8.3299999999999999E-2</v>
      </c>
      <c r="BO67" s="58">
        <v>0.52380000000000004</v>
      </c>
      <c r="BP67" s="58">
        <v>0.68569999999999998</v>
      </c>
      <c r="BQ67" s="58">
        <v>0.52829999999999999</v>
      </c>
      <c r="BR67" s="58">
        <v>8.4900000000000003E-2</v>
      </c>
      <c r="BS67" s="58">
        <v>0</v>
      </c>
      <c r="BT67" s="58">
        <v>0</v>
      </c>
      <c r="BU67" s="58">
        <v>0</v>
      </c>
      <c r="BV67" s="58">
        <v>2.86E-2</v>
      </c>
      <c r="BW67" s="58">
        <v>0.90480000000000005</v>
      </c>
      <c r="BX67" s="58">
        <v>0.5343</v>
      </c>
      <c r="BY67" s="58">
        <v>0.84550000000000003</v>
      </c>
      <c r="BZ67" s="58">
        <v>0.61370000000000002</v>
      </c>
      <c r="CA67" s="58">
        <v>0.86880000000000002</v>
      </c>
      <c r="CB67" s="58">
        <v>0.71840000000000004</v>
      </c>
      <c r="CC67" s="58">
        <v>1</v>
      </c>
      <c r="CD67" s="85" t="s">
        <v>2</v>
      </c>
      <c r="CE67" s="85" t="s">
        <v>2</v>
      </c>
      <c r="CF67" s="58">
        <v>0.98880000000000001</v>
      </c>
      <c r="CG67" s="58">
        <v>1</v>
      </c>
      <c r="CH67" s="58">
        <v>1</v>
      </c>
      <c r="CI67" s="58">
        <v>0.48</v>
      </c>
      <c r="CJ67" s="58">
        <v>0.76</v>
      </c>
      <c r="CK67" s="58">
        <v>0.84</v>
      </c>
      <c r="CL67" s="60">
        <v>29</v>
      </c>
      <c r="CM67" s="61">
        <v>42</v>
      </c>
      <c r="CN67" s="4"/>
    </row>
    <row r="68" spans="1:92" x14ac:dyDescent="0.25">
      <c r="A68" s="1" t="s">
        <v>85</v>
      </c>
      <c r="B68" s="2" t="s">
        <v>215</v>
      </c>
      <c r="C68" s="2" t="s">
        <v>85</v>
      </c>
      <c r="D68" s="2" t="s">
        <v>153</v>
      </c>
      <c r="E68" s="3">
        <v>29138</v>
      </c>
      <c r="F68" s="59">
        <v>3</v>
      </c>
      <c r="G68" s="59">
        <v>3</v>
      </c>
      <c r="H68" s="59">
        <v>3</v>
      </c>
      <c r="I68" s="59">
        <v>3</v>
      </c>
      <c r="J68" s="59">
        <v>3</v>
      </c>
      <c r="K68" s="59">
        <v>3</v>
      </c>
      <c r="L68" s="59">
        <v>3</v>
      </c>
      <c r="M68" s="59">
        <v>2</v>
      </c>
      <c r="N68" s="58">
        <v>0.46429999999999999</v>
      </c>
      <c r="O68" s="58">
        <v>0.52380000000000004</v>
      </c>
      <c r="P68" s="59">
        <v>1</v>
      </c>
      <c r="Q68" s="58">
        <v>4.6899999999999997E-2</v>
      </c>
      <c r="R68" s="58">
        <v>0.1077</v>
      </c>
      <c r="S68" s="59">
        <v>0</v>
      </c>
      <c r="T68" s="58">
        <v>0.125</v>
      </c>
      <c r="U68" s="58">
        <v>7.6899999999999996E-2</v>
      </c>
      <c r="V68" s="59">
        <v>3</v>
      </c>
      <c r="W68" s="58">
        <v>0.14699999999999999</v>
      </c>
      <c r="X68" s="58">
        <v>0.13880000000000001</v>
      </c>
      <c r="Y68" s="59">
        <v>0</v>
      </c>
      <c r="Z68" s="58">
        <v>0.15379999999999999</v>
      </c>
      <c r="AA68" s="58">
        <v>0.66669999999999996</v>
      </c>
      <c r="AB68" s="59">
        <v>2</v>
      </c>
      <c r="AC68" s="58">
        <v>0.105</v>
      </c>
      <c r="AD68" s="58">
        <v>0.1368</v>
      </c>
      <c r="AE68" s="59">
        <v>0</v>
      </c>
      <c r="AF68" s="58">
        <v>0.28100000000000003</v>
      </c>
      <c r="AG68" s="58">
        <v>0.19</v>
      </c>
      <c r="AH68" s="72"/>
      <c r="AI68" s="58">
        <v>0.46429999999999999</v>
      </c>
      <c r="AJ68" s="58">
        <v>0.39290000000000003</v>
      </c>
      <c r="AK68" s="58">
        <v>0.97435897435897401</v>
      </c>
      <c r="AL68" s="58">
        <v>1</v>
      </c>
      <c r="AM68" s="58">
        <v>1</v>
      </c>
      <c r="AN68" s="58">
        <v>0.97435897435897401</v>
      </c>
      <c r="AO68" s="58">
        <v>1</v>
      </c>
      <c r="AP68" s="58">
        <v>1</v>
      </c>
      <c r="AQ68" s="58">
        <v>0.14285714285714299</v>
      </c>
      <c r="AR68" s="58">
        <v>6.6666666666666693E-2</v>
      </c>
      <c r="AS68" s="58">
        <v>0.31034482758620702</v>
      </c>
      <c r="AT68" s="58">
        <v>8.5714285714285701E-2</v>
      </c>
      <c r="AU68" s="58">
        <v>6.6666666666666693E-2</v>
      </c>
      <c r="AV68" s="58">
        <v>2.7777777777777801E-2</v>
      </c>
      <c r="AW68" s="58">
        <v>0.33333333333333298</v>
      </c>
      <c r="AX68" s="58" t="s">
        <v>23</v>
      </c>
      <c r="AY68" s="58" t="s">
        <v>23</v>
      </c>
      <c r="AZ68" s="58">
        <v>0.66666666666666696</v>
      </c>
      <c r="BA68" s="58" t="s">
        <v>23</v>
      </c>
      <c r="BB68" s="58" t="s">
        <v>23</v>
      </c>
      <c r="BC68" s="58">
        <v>0.27649769585253497</v>
      </c>
      <c r="BD68" s="58">
        <v>0.27728237791932098</v>
      </c>
      <c r="BE68" s="58">
        <v>0.333826951554897</v>
      </c>
      <c r="BF68" s="58">
        <v>0.36052227342549897</v>
      </c>
      <c r="BG68" s="58">
        <v>0.247435897435897</v>
      </c>
      <c r="BH68" s="58">
        <v>0.29244694132334598</v>
      </c>
      <c r="BI68" s="58" t="s">
        <v>2</v>
      </c>
      <c r="BJ68" s="58" t="s">
        <v>2</v>
      </c>
      <c r="BK68" s="58">
        <v>0.69120000000000004</v>
      </c>
      <c r="BL68" s="58">
        <v>0.13880000000000001</v>
      </c>
      <c r="BM68" s="58">
        <v>1.1299999999999999E-2</v>
      </c>
      <c r="BN68" s="58">
        <v>0</v>
      </c>
      <c r="BO68" s="58">
        <v>0.85709999999999997</v>
      </c>
      <c r="BP68" s="58" t="s">
        <v>23</v>
      </c>
      <c r="BQ68" s="58">
        <v>0</v>
      </c>
      <c r="BR68" s="58">
        <v>0.45450000000000002</v>
      </c>
      <c r="BS68" s="58">
        <v>0</v>
      </c>
      <c r="BT68" s="58">
        <v>7.1400000000000005E-2</v>
      </c>
      <c r="BU68" s="58">
        <v>0</v>
      </c>
      <c r="BV68" s="58" t="s">
        <v>23</v>
      </c>
      <c r="BW68" s="58">
        <v>0.94440000000000002</v>
      </c>
      <c r="BX68" s="58">
        <v>0.68420000000000003</v>
      </c>
      <c r="BY68" s="58">
        <v>0.86670000000000003</v>
      </c>
      <c r="BZ68" s="58">
        <v>0.47370000000000001</v>
      </c>
      <c r="CA68" s="58">
        <v>0.9375</v>
      </c>
      <c r="CB68" s="58">
        <v>0.73680000000000001</v>
      </c>
      <c r="CC68" s="58">
        <v>1</v>
      </c>
      <c r="CD68" s="85" t="s">
        <v>2</v>
      </c>
      <c r="CE68" s="85" t="s">
        <v>2</v>
      </c>
      <c r="CF68" s="58">
        <v>1</v>
      </c>
      <c r="CG68" s="58">
        <v>1</v>
      </c>
      <c r="CH68" s="58">
        <v>1</v>
      </c>
      <c r="CI68" s="58">
        <v>0.33329999999999999</v>
      </c>
      <c r="CJ68" s="58">
        <v>0.66669999999999996</v>
      </c>
      <c r="CK68" s="58">
        <v>0.75</v>
      </c>
      <c r="CL68" s="60">
        <v>29</v>
      </c>
      <c r="CM68" s="61">
        <v>42</v>
      </c>
      <c r="CN68" s="4"/>
    </row>
    <row r="69" spans="1:92" x14ac:dyDescent="0.25">
      <c r="A69" s="1" t="s">
        <v>456</v>
      </c>
      <c r="B69" s="2" t="s">
        <v>463</v>
      </c>
      <c r="C69" s="2" t="s">
        <v>85</v>
      </c>
      <c r="D69" s="2" t="s">
        <v>153</v>
      </c>
      <c r="E69" s="3">
        <v>29139</v>
      </c>
      <c r="F69" s="59">
        <v>3</v>
      </c>
      <c r="G69" s="59">
        <v>3</v>
      </c>
      <c r="H69" s="59">
        <v>2</v>
      </c>
      <c r="I69" s="59">
        <v>3</v>
      </c>
      <c r="J69" s="59">
        <v>3</v>
      </c>
      <c r="K69" s="59">
        <v>3</v>
      </c>
      <c r="L69" s="59">
        <v>3</v>
      </c>
      <c r="M69" s="59" t="s">
        <v>23</v>
      </c>
      <c r="N69" s="58" t="s">
        <v>23</v>
      </c>
      <c r="O69" s="58">
        <v>1</v>
      </c>
      <c r="P69" s="59">
        <v>0</v>
      </c>
      <c r="Q69" s="58">
        <v>0</v>
      </c>
      <c r="R69" s="58">
        <v>0</v>
      </c>
      <c r="S69" s="59">
        <v>0</v>
      </c>
      <c r="T69" s="58">
        <v>0</v>
      </c>
      <c r="U69" s="58">
        <v>0</v>
      </c>
      <c r="V69" s="59" t="s">
        <v>23</v>
      </c>
      <c r="W69" s="58">
        <v>0</v>
      </c>
      <c r="X69" s="58">
        <v>0</v>
      </c>
      <c r="Y69" s="59" t="s">
        <v>23</v>
      </c>
      <c r="Z69" s="58" t="s">
        <v>23</v>
      </c>
      <c r="AA69" s="58" t="s">
        <v>23</v>
      </c>
      <c r="AB69" s="59" t="s">
        <v>23</v>
      </c>
      <c r="AC69" s="58">
        <v>0</v>
      </c>
      <c r="AD69" s="58">
        <v>0</v>
      </c>
      <c r="AE69" s="59">
        <v>3</v>
      </c>
      <c r="AF69" s="58">
        <v>1.4999999999999999E-2</v>
      </c>
      <c r="AG69" s="58" t="s">
        <v>23</v>
      </c>
      <c r="AH69" s="72"/>
      <c r="AI69" s="58" t="s">
        <v>23</v>
      </c>
      <c r="AJ69" s="58" t="s">
        <v>23</v>
      </c>
      <c r="AK69" s="58" t="s">
        <v>23</v>
      </c>
      <c r="AL69" s="58">
        <v>0.69230769230769196</v>
      </c>
      <c r="AM69" s="58">
        <v>0.25</v>
      </c>
      <c r="AN69" s="58" t="s">
        <v>23</v>
      </c>
      <c r="AO69" s="58">
        <v>0.83333333333333304</v>
      </c>
      <c r="AP69" s="58">
        <v>0.14285714285714299</v>
      </c>
      <c r="AQ69" s="58" t="s">
        <v>23</v>
      </c>
      <c r="AR69" s="58">
        <v>0</v>
      </c>
      <c r="AS69" s="58">
        <v>0.6</v>
      </c>
      <c r="AT69" s="58" t="s">
        <v>23</v>
      </c>
      <c r="AU69" s="58">
        <v>0</v>
      </c>
      <c r="AV69" s="58">
        <v>0</v>
      </c>
      <c r="AW69" s="58" t="s">
        <v>23</v>
      </c>
      <c r="AX69" s="58" t="s">
        <v>23</v>
      </c>
      <c r="AY69" s="58" t="s">
        <v>23</v>
      </c>
      <c r="AZ69" s="58" t="s">
        <v>23</v>
      </c>
      <c r="BA69" s="58" t="s">
        <v>23</v>
      </c>
      <c r="BB69" s="58" t="s">
        <v>23</v>
      </c>
      <c r="BC69" s="58" t="s">
        <v>23</v>
      </c>
      <c r="BD69" s="58">
        <v>3.3333333333333298E-2</v>
      </c>
      <c r="BE69" s="58">
        <v>0.108333333333333</v>
      </c>
      <c r="BF69" s="58" t="s">
        <v>23</v>
      </c>
      <c r="BG69" s="58">
        <v>3.2258064516128997E-2</v>
      </c>
      <c r="BH69" s="58">
        <v>0.12903225806451599</v>
      </c>
      <c r="BI69" s="58" t="s">
        <v>2</v>
      </c>
      <c r="BJ69" s="58" t="s">
        <v>2</v>
      </c>
      <c r="BK69" s="58">
        <v>1.72E-2</v>
      </c>
      <c r="BL69" s="58">
        <v>0</v>
      </c>
      <c r="BM69" s="58">
        <v>0</v>
      </c>
      <c r="BN69" s="58" t="s">
        <v>23</v>
      </c>
      <c r="BO69" s="58" t="s">
        <v>23</v>
      </c>
      <c r="BP69" s="58" t="s">
        <v>23</v>
      </c>
      <c r="BQ69" s="58" t="s">
        <v>23</v>
      </c>
      <c r="BR69" s="58" t="s">
        <v>23</v>
      </c>
      <c r="BS69" s="58" t="s">
        <v>23</v>
      </c>
      <c r="BT69" s="58" t="s">
        <v>23</v>
      </c>
      <c r="BU69" s="58" t="s">
        <v>23</v>
      </c>
      <c r="BV69" s="58" t="s">
        <v>23</v>
      </c>
      <c r="BW69" s="58" t="s">
        <v>23</v>
      </c>
      <c r="BX69" s="58" t="s">
        <v>23</v>
      </c>
      <c r="BY69" s="58" t="s">
        <v>23</v>
      </c>
      <c r="BZ69" s="58" t="s">
        <v>23</v>
      </c>
      <c r="CA69" s="58" t="s">
        <v>23</v>
      </c>
      <c r="CB69" s="58" t="s">
        <v>23</v>
      </c>
      <c r="CC69" s="58" t="s">
        <v>23</v>
      </c>
      <c r="CD69" s="85" t="s">
        <v>2</v>
      </c>
      <c r="CE69" s="85" t="s">
        <v>2</v>
      </c>
      <c r="CF69" s="58">
        <v>1</v>
      </c>
      <c r="CG69" s="58" t="s">
        <v>23</v>
      </c>
      <c r="CH69" s="58">
        <v>1</v>
      </c>
      <c r="CI69" s="58" t="s">
        <v>23</v>
      </c>
      <c r="CJ69" s="58" t="s">
        <v>23</v>
      </c>
      <c r="CK69" s="58" t="s">
        <v>23</v>
      </c>
      <c r="CL69" s="60">
        <v>20</v>
      </c>
      <c r="CM69" s="61">
        <v>30</v>
      </c>
      <c r="CN69" s="4"/>
    </row>
    <row r="70" spans="1:92" x14ac:dyDescent="0.25">
      <c r="A70" s="1" t="s">
        <v>460</v>
      </c>
      <c r="B70" s="2" t="s">
        <v>486</v>
      </c>
      <c r="C70" s="2" t="s">
        <v>77</v>
      </c>
      <c r="D70" s="2" t="s">
        <v>153</v>
      </c>
      <c r="E70" s="3">
        <v>29835</v>
      </c>
      <c r="F70" s="59">
        <v>3</v>
      </c>
      <c r="G70" s="59">
        <v>3</v>
      </c>
      <c r="H70" s="59" t="s">
        <v>23</v>
      </c>
      <c r="I70" s="59">
        <v>3</v>
      </c>
      <c r="J70" s="59" t="s">
        <v>23</v>
      </c>
      <c r="K70" s="59" t="s">
        <v>23</v>
      </c>
      <c r="L70" s="59" t="s">
        <v>23</v>
      </c>
      <c r="M70" s="59" t="s">
        <v>23</v>
      </c>
      <c r="N70" s="58" t="s">
        <v>23</v>
      </c>
      <c r="O70" s="59" t="s">
        <v>23</v>
      </c>
      <c r="P70" s="59">
        <v>3</v>
      </c>
      <c r="Q70" s="58" t="s">
        <v>23</v>
      </c>
      <c r="R70" s="58" t="s">
        <v>23</v>
      </c>
      <c r="S70" s="59">
        <v>3</v>
      </c>
      <c r="T70" s="58" t="s">
        <v>23</v>
      </c>
      <c r="U70" s="58" t="s">
        <v>23</v>
      </c>
      <c r="V70" s="59" t="s">
        <v>23</v>
      </c>
      <c r="W70" s="58" t="s">
        <v>23</v>
      </c>
      <c r="X70" s="58">
        <v>0</v>
      </c>
      <c r="Y70" s="59" t="s">
        <v>23</v>
      </c>
      <c r="Z70" s="58" t="s">
        <v>23</v>
      </c>
      <c r="AA70" s="58" t="s">
        <v>23</v>
      </c>
      <c r="AB70" s="59" t="s">
        <v>23</v>
      </c>
      <c r="AC70" s="58" t="s">
        <v>23</v>
      </c>
      <c r="AD70" s="58">
        <v>0</v>
      </c>
      <c r="AE70" s="59">
        <v>3</v>
      </c>
      <c r="AF70" s="58" t="s">
        <v>23</v>
      </c>
      <c r="AG70" s="58">
        <v>1</v>
      </c>
      <c r="AH70" s="72"/>
      <c r="AI70" s="58" t="s">
        <v>23</v>
      </c>
      <c r="AJ70" s="58" t="s">
        <v>23</v>
      </c>
      <c r="AK70" s="58" t="s">
        <v>23</v>
      </c>
      <c r="AL70" s="58" t="s">
        <v>23</v>
      </c>
      <c r="AM70" s="58">
        <v>1</v>
      </c>
      <c r="AN70" s="58" t="s">
        <v>23</v>
      </c>
      <c r="AO70" s="58" t="s">
        <v>23</v>
      </c>
      <c r="AP70" s="58" t="s">
        <v>23</v>
      </c>
      <c r="AQ70" s="58" t="s">
        <v>23</v>
      </c>
      <c r="AR70" s="58" t="s">
        <v>23</v>
      </c>
      <c r="AS70" s="58">
        <v>1</v>
      </c>
      <c r="AT70" s="58" t="s">
        <v>23</v>
      </c>
      <c r="AU70" s="58" t="s">
        <v>23</v>
      </c>
      <c r="AV70" s="58" t="s">
        <v>23</v>
      </c>
      <c r="AW70" s="58" t="s">
        <v>23</v>
      </c>
      <c r="AX70" s="58" t="s">
        <v>23</v>
      </c>
      <c r="AY70" s="58" t="s">
        <v>23</v>
      </c>
      <c r="AZ70" s="58" t="s">
        <v>23</v>
      </c>
      <c r="BA70" s="58" t="s">
        <v>23</v>
      </c>
      <c r="BB70" s="58" t="s">
        <v>23</v>
      </c>
      <c r="BC70" s="58" t="s">
        <v>23</v>
      </c>
      <c r="BD70" s="58" t="s">
        <v>23</v>
      </c>
      <c r="BE70" s="58">
        <v>0</v>
      </c>
      <c r="BF70" s="58" t="s">
        <v>23</v>
      </c>
      <c r="BG70" s="58" t="s">
        <v>23</v>
      </c>
      <c r="BH70" s="58" t="s">
        <v>23</v>
      </c>
      <c r="BI70" s="58" t="s">
        <v>23</v>
      </c>
      <c r="BJ70" s="58" t="s">
        <v>23</v>
      </c>
      <c r="BK70" s="58">
        <v>1</v>
      </c>
      <c r="BL70" s="58">
        <v>0</v>
      </c>
      <c r="BM70" s="58">
        <v>0</v>
      </c>
      <c r="BN70" s="58" t="s">
        <v>23</v>
      </c>
      <c r="BO70" s="58" t="s">
        <v>23</v>
      </c>
      <c r="BP70" s="58" t="s">
        <v>23</v>
      </c>
      <c r="BQ70" s="58" t="s">
        <v>23</v>
      </c>
      <c r="BR70" s="58" t="s">
        <v>23</v>
      </c>
      <c r="BS70" s="58" t="s">
        <v>23</v>
      </c>
      <c r="BT70" s="58" t="s">
        <v>23</v>
      </c>
      <c r="BU70" s="58" t="s">
        <v>23</v>
      </c>
      <c r="BV70" s="58" t="s">
        <v>23</v>
      </c>
      <c r="BW70" s="58" t="s">
        <v>23</v>
      </c>
      <c r="BX70" s="58" t="s">
        <v>23</v>
      </c>
      <c r="BY70" s="58" t="s">
        <v>23</v>
      </c>
      <c r="BZ70" s="58" t="s">
        <v>23</v>
      </c>
      <c r="CA70" s="58" t="s">
        <v>23</v>
      </c>
      <c r="CB70" s="58" t="s">
        <v>23</v>
      </c>
      <c r="CC70" s="58" t="s">
        <v>23</v>
      </c>
      <c r="CD70" s="85" t="s">
        <v>2</v>
      </c>
      <c r="CE70" s="85" t="s">
        <v>23</v>
      </c>
      <c r="CF70" s="58" t="s">
        <v>23</v>
      </c>
      <c r="CG70" s="58" t="s">
        <v>23</v>
      </c>
      <c r="CH70" s="58" t="s">
        <v>23</v>
      </c>
      <c r="CI70" s="58" t="s">
        <v>23</v>
      </c>
      <c r="CJ70" s="58" t="s">
        <v>23</v>
      </c>
      <c r="CK70" s="58" t="s">
        <v>23</v>
      </c>
      <c r="CL70" s="60">
        <v>18</v>
      </c>
      <c r="CM70" s="61">
        <v>21</v>
      </c>
      <c r="CN70" s="4"/>
    </row>
    <row r="71" spans="1:92" x14ac:dyDescent="0.25">
      <c r="A71" s="1" t="s">
        <v>457</v>
      </c>
      <c r="B71" s="2" t="s">
        <v>464</v>
      </c>
      <c r="C71" s="2" t="s">
        <v>85</v>
      </c>
      <c r="D71" s="2" t="s">
        <v>153</v>
      </c>
      <c r="E71" s="3">
        <v>29141</v>
      </c>
      <c r="F71" s="59">
        <v>3</v>
      </c>
      <c r="G71" s="59">
        <v>3</v>
      </c>
      <c r="H71" s="59" t="s">
        <v>23</v>
      </c>
      <c r="I71" s="59">
        <v>3</v>
      </c>
      <c r="J71" s="59" t="s">
        <v>23</v>
      </c>
      <c r="K71" s="59">
        <v>3</v>
      </c>
      <c r="L71" s="59">
        <v>3</v>
      </c>
      <c r="M71" s="59" t="s">
        <v>23</v>
      </c>
      <c r="N71" s="58" t="s">
        <v>23</v>
      </c>
      <c r="O71" s="59" t="s">
        <v>23</v>
      </c>
      <c r="P71" s="59" t="s">
        <v>23</v>
      </c>
      <c r="Q71" s="58" t="s">
        <v>23</v>
      </c>
      <c r="R71" s="58" t="s">
        <v>23</v>
      </c>
      <c r="S71" s="59" t="s">
        <v>23</v>
      </c>
      <c r="T71" s="58" t="s">
        <v>23</v>
      </c>
      <c r="U71" s="58" t="s">
        <v>23</v>
      </c>
      <c r="V71" s="59" t="s">
        <v>23</v>
      </c>
      <c r="W71" s="58">
        <v>0</v>
      </c>
      <c r="X71" s="58">
        <v>0</v>
      </c>
      <c r="Y71" s="59" t="s">
        <v>23</v>
      </c>
      <c r="Z71" s="58" t="s">
        <v>23</v>
      </c>
      <c r="AA71" s="58" t="s">
        <v>23</v>
      </c>
      <c r="AB71" s="59" t="s">
        <v>23</v>
      </c>
      <c r="AC71" s="60">
        <v>0</v>
      </c>
      <c r="AD71" s="60">
        <v>0</v>
      </c>
      <c r="AE71" s="59">
        <v>3</v>
      </c>
      <c r="AF71" s="58">
        <v>0</v>
      </c>
      <c r="AG71" s="58">
        <v>1</v>
      </c>
      <c r="AH71" s="72"/>
      <c r="AI71" s="58" t="s">
        <v>23</v>
      </c>
      <c r="AJ71" s="58" t="s">
        <v>23</v>
      </c>
      <c r="AK71" s="58" t="s">
        <v>23</v>
      </c>
      <c r="AL71" s="58" t="s">
        <v>23</v>
      </c>
      <c r="AM71" s="58" t="s">
        <v>23</v>
      </c>
      <c r="AN71" s="58" t="s">
        <v>23</v>
      </c>
      <c r="AO71" s="58" t="s">
        <v>23</v>
      </c>
      <c r="AP71" s="58" t="s">
        <v>23</v>
      </c>
      <c r="AQ71" s="58" t="s">
        <v>23</v>
      </c>
      <c r="AR71" s="58" t="s">
        <v>23</v>
      </c>
      <c r="AS71" s="58" t="s">
        <v>23</v>
      </c>
      <c r="AT71" s="58" t="s">
        <v>23</v>
      </c>
      <c r="AU71" s="58" t="s">
        <v>23</v>
      </c>
      <c r="AV71" s="58" t="s">
        <v>23</v>
      </c>
      <c r="AW71" s="58" t="s">
        <v>23</v>
      </c>
      <c r="AX71" s="58" t="s">
        <v>23</v>
      </c>
      <c r="AY71" s="58" t="s">
        <v>23</v>
      </c>
      <c r="AZ71" s="58" t="s">
        <v>23</v>
      </c>
      <c r="BA71" s="58" t="s">
        <v>23</v>
      </c>
      <c r="BB71" s="58" t="s">
        <v>23</v>
      </c>
      <c r="BC71" s="58" t="s">
        <v>23</v>
      </c>
      <c r="BD71" s="58" t="s">
        <v>23</v>
      </c>
      <c r="BE71" s="58" t="s">
        <v>23</v>
      </c>
      <c r="BF71" s="58" t="s">
        <v>23</v>
      </c>
      <c r="BG71" s="58" t="s">
        <v>23</v>
      </c>
      <c r="BH71" s="58" t="s">
        <v>23</v>
      </c>
      <c r="BI71" s="58" t="s">
        <v>2</v>
      </c>
      <c r="BJ71" s="58" t="s">
        <v>2</v>
      </c>
      <c r="BK71" s="58">
        <v>1</v>
      </c>
      <c r="BL71" s="58">
        <v>0</v>
      </c>
      <c r="BM71" s="58">
        <v>0</v>
      </c>
      <c r="BN71" s="58" t="s">
        <v>23</v>
      </c>
      <c r="BO71" s="58" t="s">
        <v>23</v>
      </c>
      <c r="BP71" s="58" t="s">
        <v>23</v>
      </c>
      <c r="BQ71" s="58" t="s">
        <v>23</v>
      </c>
      <c r="BR71" s="58" t="s">
        <v>23</v>
      </c>
      <c r="BS71" s="58" t="s">
        <v>23</v>
      </c>
      <c r="BT71" s="58" t="s">
        <v>23</v>
      </c>
      <c r="BU71" s="58" t="s">
        <v>23</v>
      </c>
      <c r="BV71" s="58" t="s">
        <v>23</v>
      </c>
      <c r="BW71" s="58" t="s">
        <v>23</v>
      </c>
      <c r="BX71" s="58" t="s">
        <v>23</v>
      </c>
      <c r="BY71" s="58" t="s">
        <v>23</v>
      </c>
      <c r="BZ71" s="58" t="s">
        <v>23</v>
      </c>
      <c r="CA71" s="58" t="s">
        <v>23</v>
      </c>
      <c r="CB71" s="58" t="s">
        <v>23</v>
      </c>
      <c r="CC71" s="58" t="s">
        <v>23</v>
      </c>
      <c r="CD71" s="58" t="s">
        <v>2</v>
      </c>
      <c r="CE71" s="58" t="s">
        <v>2</v>
      </c>
      <c r="CF71" s="58" t="s">
        <v>23</v>
      </c>
      <c r="CG71" s="58" t="s">
        <v>23</v>
      </c>
      <c r="CH71" s="58" t="s">
        <v>23</v>
      </c>
      <c r="CI71" s="58" t="s">
        <v>23</v>
      </c>
      <c r="CJ71" s="58" t="s">
        <v>23</v>
      </c>
      <c r="CK71" s="58" t="s">
        <v>23</v>
      </c>
      <c r="CL71" s="60">
        <v>18</v>
      </c>
      <c r="CM71" s="61">
        <v>21</v>
      </c>
      <c r="CN71" s="4"/>
    </row>
    <row r="72" spans="1:92" x14ac:dyDescent="0.25">
      <c r="A72" s="1" t="s">
        <v>483</v>
      </c>
      <c r="B72" s="2" t="s">
        <v>487</v>
      </c>
      <c r="C72" s="2" t="s">
        <v>59</v>
      </c>
      <c r="D72" s="2" t="s">
        <v>153</v>
      </c>
      <c r="E72" s="3">
        <v>29601</v>
      </c>
      <c r="F72" s="59">
        <v>3</v>
      </c>
      <c r="G72" s="59">
        <v>3</v>
      </c>
      <c r="H72" s="59" t="s">
        <v>23</v>
      </c>
      <c r="I72" s="59">
        <v>3</v>
      </c>
      <c r="J72" s="59" t="s">
        <v>23</v>
      </c>
      <c r="K72" s="59">
        <v>3</v>
      </c>
      <c r="L72" s="59">
        <v>3</v>
      </c>
      <c r="M72" s="59" t="s">
        <v>23</v>
      </c>
      <c r="N72" s="58" t="s">
        <v>23</v>
      </c>
      <c r="O72" s="59" t="s">
        <v>23</v>
      </c>
      <c r="P72" s="59" t="s">
        <v>23</v>
      </c>
      <c r="Q72" s="58" t="s">
        <v>23</v>
      </c>
      <c r="R72" s="60" t="s">
        <v>23</v>
      </c>
      <c r="S72" s="59" t="s">
        <v>23</v>
      </c>
      <c r="T72" s="58" t="s">
        <v>23</v>
      </c>
      <c r="U72" s="60" t="s">
        <v>23</v>
      </c>
      <c r="V72" s="59" t="s">
        <v>23</v>
      </c>
      <c r="W72" s="58">
        <v>0</v>
      </c>
      <c r="X72" s="59" t="s">
        <v>23</v>
      </c>
      <c r="Y72" s="59" t="s">
        <v>23</v>
      </c>
      <c r="Z72" s="58" t="s">
        <v>23</v>
      </c>
      <c r="AA72" s="59" t="s">
        <v>23</v>
      </c>
      <c r="AB72" s="59" t="s">
        <v>23</v>
      </c>
      <c r="AC72" s="60" t="s">
        <v>23</v>
      </c>
      <c r="AD72" s="60" t="s">
        <v>23</v>
      </c>
      <c r="AE72" s="59">
        <v>3</v>
      </c>
      <c r="AF72" s="58">
        <v>0.23100000000000001</v>
      </c>
      <c r="AG72" s="58">
        <v>0.41699999999999998</v>
      </c>
      <c r="AH72" s="72"/>
      <c r="AI72" s="58" t="s">
        <v>23</v>
      </c>
      <c r="AJ72" s="58" t="s">
        <v>23</v>
      </c>
      <c r="AK72" s="58" t="s">
        <v>23</v>
      </c>
      <c r="AL72" s="58" t="s">
        <v>23</v>
      </c>
      <c r="AM72" s="58" t="s">
        <v>23</v>
      </c>
      <c r="AN72" s="58" t="s">
        <v>23</v>
      </c>
      <c r="AO72" s="58" t="s">
        <v>23</v>
      </c>
      <c r="AP72" s="58" t="s">
        <v>23</v>
      </c>
      <c r="AQ72" s="58" t="s">
        <v>23</v>
      </c>
      <c r="AR72" s="58" t="s">
        <v>23</v>
      </c>
      <c r="AS72" s="58" t="s">
        <v>23</v>
      </c>
      <c r="AT72" s="58" t="s">
        <v>23</v>
      </c>
      <c r="AU72" s="58" t="s">
        <v>23</v>
      </c>
      <c r="AV72" s="58" t="s">
        <v>23</v>
      </c>
      <c r="AW72" s="58" t="s">
        <v>23</v>
      </c>
      <c r="AX72" s="58" t="s">
        <v>23</v>
      </c>
      <c r="AY72" s="58" t="s">
        <v>23</v>
      </c>
      <c r="AZ72" s="58" t="s">
        <v>23</v>
      </c>
      <c r="BA72" s="58" t="s">
        <v>23</v>
      </c>
      <c r="BB72" s="58" t="s">
        <v>23</v>
      </c>
      <c r="BC72" s="58" t="s">
        <v>23</v>
      </c>
      <c r="BD72" s="58" t="s">
        <v>23</v>
      </c>
      <c r="BE72" s="58" t="s">
        <v>23</v>
      </c>
      <c r="BF72" s="58" t="s">
        <v>23</v>
      </c>
      <c r="BG72" s="58" t="s">
        <v>23</v>
      </c>
      <c r="BH72" s="58" t="s">
        <v>23</v>
      </c>
      <c r="BI72" s="58" t="s">
        <v>2</v>
      </c>
      <c r="BJ72" s="58" t="s">
        <v>2</v>
      </c>
      <c r="BK72" s="58" t="s">
        <v>23</v>
      </c>
      <c r="BL72" s="58" t="s">
        <v>23</v>
      </c>
      <c r="BM72" s="58" t="s">
        <v>23</v>
      </c>
      <c r="BN72" s="58" t="s">
        <v>23</v>
      </c>
      <c r="BO72" s="58" t="s">
        <v>23</v>
      </c>
      <c r="BP72" s="58" t="s">
        <v>23</v>
      </c>
      <c r="BQ72" s="58" t="s">
        <v>23</v>
      </c>
      <c r="BR72" s="58" t="s">
        <v>23</v>
      </c>
      <c r="BS72" s="58" t="s">
        <v>23</v>
      </c>
      <c r="BT72" s="58" t="s">
        <v>23</v>
      </c>
      <c r="BU72" s="58" t="s">
        <v>23</v>
      </c>
      <c r="BV72" s="58" t="s">
        <v>23</v>
      </c>
      <c r="BW72" s="58" t="s">
        <v>23</v>
      </c>
      <c r="BX72" s="58" t="s">
        <v>23</v>
      </c>
      <c r="BY72" s="58" t="s">
        <v>23</v>
      </c>
      <c r="BZ72" s="58" t="s">
        <v>23</v>
      </c>
      <c r="CA72" s="58" t="s">
        <v>23</v>
      </c>
      <c r="CB72" s="58" t="s">
        <v>23</v>
      </c>
      <c r="CC72" s="58" t="s">
        <v>23</v>
      </c>
      <c r="CD72" s="58" t="s">
        <v>2</v>
      </c>
      <c r="CE72" s="58" t="s">
        <v>2</v>
      </c>
      <c r="CF72" s="58" t="s">
        <v>23</v>
      </c>
      <c r="CG72" s="58" t="s">
        <v>23</v>
      </c>
      <c r="CH72" s="58">
        <v>1</v>
      </c>
      <c r="CI72" s="58" t="s">
        <v>23</v>
      </c>
      <c r="CJ72" s="58" t="s">
        <v>23</v>
      </c>
      <c r="CK72" s="58" t="s">
        <v>23</v>
      </c>
      <c r="CL72" s="60">
        <v>18</v>
      </c>
      <c r="CM72" s="61">
        <v>21</v>
      </c>
      <c r="CN72" s="4"/>
    </row>
    <row r="73" spans="1:92" x14ac:dyDescent="0.25">
      <c r="A73" s="1" t="s">
        <v>458</v>
      </c>
      <c r="B73" s="2" t="s">
        <v>488</v>
      </c>
      <c r="C73" s="2" t="s">
        <v>243</v>
      </c>
      <c r="D73" s="2" t="s">
        <v>153</v>
      </c>
      <c r="E73" s="3">
        <v>29201</v>
      </c>
      <c r="F73" s="59">
        <v>3</v>
      </c>
      <c r="G73" s="59">
        <v>3</v>
      </c>
      <c r="H73" s="59">
        <v>3</v>
      </c>
      <c r="I73" s="59">
        <v>3</v>
      </c>
      <c r="J73" s="59">
        <v>2</v>
      </c>
      <c r="K73" s="59">
        <v>3</v>
      </c>
      <c r="L73" s="59">
        <v>2</v>
      </c>
      <c r="M73" s="59">
        <v>3</v>
      </c>
      <c r="N73" s="58">
        <v>0.68920000000000003</v>
      </c>
      <c r="O73" s="58">
        <v>0.63109999999999999</v>
      </c>
      <c r="P73" s="59">
        <v>3</v>
      </c>
      <c r="Q73" s="58">
        <v>0.22559999999999999</v>
      </c>
      <c r="R73" s="60">
        <v>0.17960000000000001</v>
      </c>
      <c r="S73" s="59">
        <v>0</v>
      </c>
      <c r="T73" s="58">
        <v>0.1336</v>
      </c>
      <c r="U73" s="60">
        <v>0.1077</v>
      </c>
      <c r="V73" s="59">
        <v>3</v>
      </c>
      <c r="W73" s="58">
        <v>2.9899999999999999E-2</v>
      </c>
      <c r="X73" s="58">
        <v>2.3400000000000001E-2</v>
      </c>
      <c r="Y73" s="59">
        <v>1</v>
      </c>
      <c r="Z73" s="58">
        <v>0.92110000000000003</v>
      </c>
      <c r="AA73" s="58">
        <v>0.90239999999999998</v>
      </c>
      <c r="AB73" s="59">
        <v>2</v>
      </c>
      <c r="AC73" s="60">
        <v>3.9300000000000002E-2</v>
      </c>
      <c r="AD73" s="60">
        <v>0.11700000000000001</v>
      </c>
      <c r="AE73" s="59">
        <v>0</v>
      </c>
      <c r="AF73" s="58">
        <v>0.224</v>
      </c>
      <c r="AG73" s="58">
        <v>0.188</v>
      </c>
      <c r="AH73" s="72"/>
      <c r="AI73" s="58">
        <v>0.68920000000000003</v>
      </c>
      <c r="AJ73" s="58">
        <v>0.27029999999999998</v>
      </c>
      <c r="AK73" s="58">
        <v>1</v>
      </c>
      <c r="AL73" s="58">
        <v>0.97435897435897401</v>
      </c>
      <c r="AM73" s="58">
        <v>0.88622754491017997</v>
      </c>
      <c r="AN73" s="58">
        <v>1</v>
      </c>
      <c r="AO73" s="58">
        <v>0.987179487179487</v>
      </c>
      <c r="AP73" s="58">
        <v>0.91249999999999998</v>
      </c>
      <c r="AQ73" s="58">
        <v>0.216374269005848</v>
      </c>
      <c r="AR73" s="58">
        <v>0.13815789473684201</v>
      </c>
      <c r="AS73" s="58">
        <v>0.641891891891892</v>
      </c>
      <c r="AT73" s="58">
        <v>0.157894736842105</v>
      </c>
      <c r="AU73" s="58">
        <v>5.1948051948052E-2</v>
      </c>
      <c r="AV73" s="58">
        <v>0.36551724137931002</v>
      </c>
      <c r="AW73" s="58" t="s">
        <v>23</v>
      </c>
      <c r="AX73" s="58" t="s">
        <v>23</v>
      </c>
      <c r="AY73" s="58" t="s">
        <v>23</v>
      </c>
      <c r="AZ73" s="58" t="s">
        <v>23</v>
      </c>
      <c r="BA73" s="58" t="s">
        <v>23</v>
      </c>
      <c r="BB73" s="58">
        <v>1</v>
      </c>
      <c r="BC73" s="58">
        <v>0.29261343203483298</v>
      </c>
      <c r="BD73" s="58">
        <v>0.43452161489538199</v>
      </c>
      <c r="BE73" s="58">
        <v>0.25914977477477502</v>
      </c>
      <c r="BF73" s="58">
        <v>0.24418662550415801</v>
      </c>
      <c r="BG73" s="58">
        <v>0.27732024073487499</v>
      </c>
      <c r="BH73" s="58">
        <v>0.214093296994115</v>
      </c>
      <c r="BI73" s="58" t="s">
        <v>2</v>
      </c>
      <c r="BJ73" s="58" t="s">
        <v>2</v>
      </c>
      <c r="BK73" s="58">
        <v>0.84299999999999997</v>
      </c>
      <c r="BL73" s="58">
        <v>2.3400000000000001E-2</v>
      </c>
      <c r="BM73" s="58">
        <v>2.5399999999999999E-2</v>
      </c>
      <c r="BN73" s="58">
        <v>0</v>
      </c>
      <c r="BO73" s="58">
        <v>1</v>
      </c>
      <c r="BP73" s="58">
        <v>0.16669999999999999</v>
      </c>
      <c r="BQ73" s="58">
        <v>9.5200000000000007E-2</v>
      </c>
      <c r="BR73" s="58">
        <v>0.85709999999999997</v>
      </c>
      <c r="BS73" s="58">
        <v>0</v>
      </c>
      <c r="BT73" s="58">
        <v>0</v>
      </c>
      <c r="BU73" s="58">
        <v>0</v>
      </c>
      <c r="BV73" s="58" t="s">
        <v>23</v>
      </c>
      <c r="BW73" s="58">
        <v>0.95740000000000003</v>
      </c>
      <c r="BX73" s="58">
        <v>0.36</v>
      </c>
      <c r="BY73" s="58">
        <v>0.93020000000000003</v>
      </c>
      <c r="BZ73" s="58">
        <v>0.4</v>
      </c>
      <c r="CA73" s="58">
        <v>1</v>
      </c>
      <c r="CB73" s="58">
        <v>0.46</v>
      </c>
      <c r="CC73" s="58">
        <v>1</v>
      </c>
      <c r="CD73" s="58" t="s">
        <v>2</v>
      </c>
      <c r="CE73" s="58" t="s">
        <v>152</v>
      </c>
      <c r="CF73" s="58">
        <v>0.96109999999999995</v>
      </c>
      <c r="CG73" s="58">
        <v>1</v>
      </c>
      <c r="CH73" s="58">
        <v>1</v>
      </c>
      <c r="CI73" s="58">
        <v>0.42109999999999997</v>
      </c>
      <c r="CJ73" s="58">
        <v>0.71050000000000002</v>
      </c>
      <c r="CK73" s="58">
        <v>0.78949999999999998</v>
      </c>
      <c r="CL73" s="60">
        <v>31</v>
      </c>
      <c r="CM73" s="61">
        <v>39</v>
      </c>
      <c r="CN73" s="4"/>
    </row>
    <row r="74" spans="1:92" x14ac:dyDescent="0.25">
      <c r="A74" s="1" t="s">
        <v>459</v>
      </c>
      <c r="B74" s="2" t="s">
        <v>489</v>
      </c>
      <c r="C74" s="2" t="s">
        <v>243</v>
      </c>
      <c r="D74" s="2" t="s">
        <v>153</v>
      </c>
      <c r="E74" s="3">
        <v>29210</v>
      </c>
      <c r="F74" s="59">
        <v>3</v>
      </c>
      <c r="G74" s="59">
        <v>3</v>
      </c>
      <c r="H74" s="59">
        <v>2</v>
      </c>
      <c r="I74" s="59">
        <v>3</v>
      </c>
      <c r="J74" s="59">
        <v>3</v>
      </c>
      <c r="K74" s="59">
        <v>3</v>
      </c>
      <c r="L74" s="59">
        <v>3</v>
      </c>
      <c r="M74" s="59">
        <v>0</v>
      </c>
      <c r="N74" s="58">
        <v>0.5333</v>
      </c>
      <c r="O74" s="58">
        <v>0.33329999999999999</v>
      </c>
      <c r="P74" s="59">
        <v>3</v>
      </c>
      <c r="Q74" s="58">
        <v>5.5599999999999997E-2</v>
      </c>
      <c r="R74" s="58">
        <v>0.25</v>
      </c>
      <c r="S74" s="59">
        <v>0</v>
      </c>
      <c r="T74" s="58">
        <v>0</v>
      </c>
      <c r="U74" s="58">
        <v>0</v>
      </c>
      <c r="V74" s="59" t="s">
        <v>23</v>
      </c>
      <c r="W74" s="58">
        <v>0</v>
      </c>
      <c r="X74" s="58">
        <v>0</v>
      </c>
      <c r="Y74" s="59" t="s">
        <v>23</v>
      </c>
      <c r="Z74" s="58">
        <v>1</v>
      </c>
      <c r="AA74" s="58">
        <v>1</v>
      </c>
      <c r="AB74" s="59">
        <v>3</v>
      </c>
      <c r="AC74" s="58" t="s">
        <v>23</v>
      </c>
      <c r="AD74" s="58">
        <v>3.49E-2</v>
      </c>
      <c r="AE74" s="59">
        <v>1</v>
      </c>
      <c r="AF74" s="58">
        <v>6.3E-2</v>
      </c>
      <c r="AG74" s="58">
        <v>7.0999999999999994E-2</v>
      </c>
      <c r="AH74" s="72"/>
      <c r="AI74" s="58">
        <v>0.5333</v>
      </c>
      <c r="AJ74" s="58">
        <v>0.1333</v>
      </c>
      <c r="AK74" s="58">
        <v>1</v>
      </c>
      <c r="AL74" s="58">
        <v>1</v>
      </c>
      <c r="AM74" s="58">
        <v>1</v>
      </c>
      <c r="AN74" s="58">
        <v>1</v>
      </c>
      <c r="AO74" s="58">
        <v>1</v>
      </c>
      <c r="AP74" s="58">
        <v>1</v>
      </c>
      <c r="AQ74" s="58">
        <v>0</v>
      </c>
      <c r="AR74" s="58">
        <v>0.33333333333333298</v>
      </c>
      <c r="AS74" s="58">
        <v>0.2</v>
      </c>
      <c r="AT74" s="58">
        <v>0</v>
      </c>
      <c r="AU74" s="58">
        <v>0</v>
      </c>
      <c r="AV74" s="58">
        <v>0</v>
      </c>
      <c r="AW74" s="58">
        <v>0.5</v>
      </c>
      <c r="AX74" s="58">
        <v>0.5</v>
      </c>
      <c r="AY74" s="58">
        <v>0.33333333333333298</v>
      </c>
      <c r="AZ74" s="58">
        <v>0.5</v>
      </c>
      <c r="BA74" s="58">
        <v>0.5</v>
      </c>
      <c r="BB74" s="58">
        <v>0.33333333333333298</v>
      </c>
      <c r="BC74" s="58">
        <v>0</v>
      </c>
      <c r="BD74" s="58">
        <v>0</v>
      </c>
      <c r="BE74" s="58">
        <v>0</v>
      </c>
      <c r="BF74" s="58">
        <v>0</v>
      </c>
      <c r="BG74" s="58">
        <v>0</v>
      </c>
      <c r="BH74" s="58">
        <v>0</v>
      </c>
      <c r="BI74" s="58" t="s">
        <v>2</v>
      </c>
      <c r="BJ74" s="58" t="s">
        <v>2</v>
      </c>
      <c r="BK74" s="58">
        <v>0</v>
      </c>
      <c r="BL74" s="58">
        <v>0</v>
      </c>
      <c r="BM74" s="58">
        <v>1</v>
      </c>
      <c r="BN74" s="58" t="s">
        <v>23</v>
      </c>
      <c r="BO74" s="58">
        <v>1</v>
      </c>
      <c r="BP74" s="58" t="s">
        <v>23</v>
      </c>
      <c r="BQ74" s="58" t="s">
        <v>23</v>
      </c>
      <c r="BR74" s="58">
        <v>1</v>
      </c>
      <c r="BS74" s="58" t="s">
        <v>23</v>
      </c>
      <c r="BT74" s="58" t="s">
        <v>23</v>
      </c>
      <c r="BU74" s="58" t="s">
        <v>23</v>
      </c>
      <c r="BV74" s="58" t="s">
        <v>23</v>
      </c>
      <c r="BW74" s="58">
        <v>1</v>
      </c>
      <c r="BX74" s="58">
        <v>0</v>
      </c>
      <c r="BY74" s="58">
        <v>1</v>
      </c>
      <c r="BZ74" s="58">
        <v>1</v>
      </c>
      <c r="CA74" s="58">
        <v>1</v>
      </c>
      <c r="CB74" s="58">
        <v>1</v>
      </c>
      <c r="CC74" s="58">
        <v>0.9</v>
      </c>
      <c r="CD74" s="85" t="s">
        <v>2</v>
      </c>
      <c r="CE74" s="58" t="s">
        <v>2</v>
      </c>
      <c r="CF74" s="58">
        <v>1</v>
      </c>
      <c r="CG74" s="58" t="s">
        <v>23</v>
      </c>
      <c r="CH74" s="58">
        <v>1</v>
      </c>
      <c r="CI74" s="58">
        <v>0.75</v>
      </c>
      <c r="CJ74" s="58">
        <v>0.75</v>
      </c>
      <c r="CK74" s="58">
        <v>1</v>
      </c>
      <c r="CL74" s="60">
        <v>27</v>
      </c>
      <c r="CM74" s="61">
        <v>33</v>
      </c>
      <c r="CN74" s="4"/>
    </row>
    <row r="75" spans="1:92" x14ac:dyDescent="0.25">
      <c r="A75" s="1" t="s">
        <v>86</v>
      </c>
      <c r="B75" s="2" t="s">
        <v>216</v>
      </c>
      <c r="C75" s="2" t="s">
        <v>279</v>
      </c>
      <c r="D75" s="2" t="s">
        <v>153</v>
      </c>
      <c r="E75" s="3">
        <v>29322</v>
      </c>
      <c r="F75" s="59">
        <v>3</v>
      </c>
      <c r="G75" s="59">
        <v>3</v>
      </c>
      <c r="H75" s="59">
        <v>2</v>
      </c>
      <c r="I75" s="59">
        <v>3</v>
      </c>
      <c r="J75" s="59">
        <v>2</v>
      </c>
      <c r="K75" s="59">
        <v>2</v>
      </c>
      <c r="L75" s="59">
        <v>3</v>
      </c>
      <c r="M75" s="59">
        <v>0</v>
      </c>
      <c r="N75" s="58">
        <v>0.55169999999999997</v>
      </c>
      <c r="O75" s="58">
        <v>0.42309999999999998</v>
      </c>
      <c r="P75" s="59">
        <v>3</v>
      </c>
      <c r="Q75" s="58">
        <v>0.11899999999999999</v>
      </c>
      <c r="R75" s="58">
        <v>0.1807</v>
      </c>
      <c r="S75" s="59">
        <v>3</v>
      </c>
      <c r="T75" s="58">
        <v>0.18390000000000001</v>
      </c>
      <c r="U75" s="58">
        <v>0.18820000000000001</v>
      </c>
      <c r="V75" s="59">
        <v>3</v>
      </c>
      <c r="W75" s="58">
        <v>0.1082</v>
      </c>
      <c r="X75" s="58">
        <v>0.12759999999999999</v>
      </c>
      <c r="Y75" s="59">
        <v>3</v>
      </c>
      <c r="Z75" s="58">
        <v>2.7E-2</v>
      </c>
      <c r="AA75" s="58">
        <v>0</v>
      </c>
      <c r="AB75" s="59">
        <v>2</v>
      </c>
      <c r="AC75" s="58">
        <v>6.9800000000000001E-2</v>
      </c>
      <c r="AD75" s="58">
        <v>0.1095</v>
      </c>
      <c r="AE75" s="59">
        <v>1</v>
      </c>
      <c r="AF75" s="58">
        <v>0.24399999999999999</v>
      </c>
      <c r="AG75" s="58">
        <v>0.27500000000000002</v>
      </c>
      <c r="AH75" s="72"/>
      <c r="AI75" s="58">
        <v>0.55169999999999997</v>
      </c>
      <c r="AJ75" s="58">
        <v>0.13789999999999999</v>
      </c>
      <c r="AK75" s="58">
        <v>1</v>
      </c>
      <c r="AL75" s="58">
        <v>0.90243902439024404</v>
      </c>
      <c r="AM75" s="58">
        <v>1</v>
      </c>
      <c r="AN75" s="58">
        <v>1</v>
      </c>
      <c r="AO75" s="58">
        <v>0.95121951219512202</v>
      </c>
      <c r="AP75" s="58">
        <v>1</v>
      </c>
      <c r="AQ75" s="58">
        <v>0.230769230769231</v>
      </c>
      <c r="AR75" s="58">
        <v>9.6774193548387094E-2</v>
      </c>
      <c r="AS75" s="58">
        <v>0.64583333333333304</v>
      </c>
      <c r="AT75" s="58">
        <v>0.230769230769231</v>
      </c>
      <c r="AU75" s="58">
        <v>0.12121212121212099</v>
      </c>
      <c r="AV75" s="58">
        <v>0.44444444444444398</v>
      </c>
      <c r="AW75" s="58">
        <v>0</v>
      </c>
      <c r="AX75" s="58">
        <v>0.33333333333333298</v>
      </c>
      <c r="AY75" s="58">
        <v>0</v>
      </c>
      <c r="AZ75" s="58">
        <v>0</v>
      </c>
      <c r="BA75" s="58">
        <v>0.33333333333333298</v>
      </c>
      <c r="BB75" s="58">
        <v>0.5</v>
      </c>
      <c r="BC75" s="58">
        <v>0.29896049896049898</v>
      </c>
      <c r="BD75" s="58">
        <v>0.392329922674373</v>
      </c>
      <c r="BE75" s="58">
        <v>0.240305280528053</v>
      </c>
      <c r="BF75" s="58">
        <v>0.23950103950103999</v>
      </c>
      <c r="BG75" s="58">
        <v>0.26433004746257799</v>
      </c>
      <c r="BH75" s="58">
        <v>0.120409112040911</v>
      </c>
      <c r="BI75" s="58" t="s">
        <v>2</v>
      </c>
      <c r="BJ75" s="58" t="s">
        <v>152</v>
      </c>
      <c r="BK75" s="58">
        <v>0.64480000000000004</v>
      </c>
      <c r="BL75" s="58">
        <v>0.12759999999999999</v>
      </c>
      <c r="BM75" s="58">
        <v>1.72E-2</v>
      </c>
      <c r="BN75" s="58">
        <v>0.5</v>
      </c>
      <c r="BO75" s="58">
        <v>0</v>
      </c>
      <c r="BP75" s="58" t="s">
        <v>23</v>
      </c>
      <c r="BQ75" s="58">
        <v>0.72</v>
      </c>
      <c r="BR75" s="58">
        <v>0</v>
      </c>
      <c r="BS75" s="58">
        <v>0.12</v>
      </c>
      <c r="BT75" s="58">
        <v>7.1400000000000005E-2</v>
      </c>
      <c r="BU75" s="58">
        <v>0.12</v>
      </c>
      <c r="BV75" s="58" t="s">
        <v>23</v>
      </c>
      <c r="BW75" s="58">
        <v>0.92500000000000004</v>
      </c>
      <c r="BX75" s="58">
        <v>0.629</v>
      </c>
      <c r="BY75" s="58">
        <v>0.89129999999999998</v>
      </c>
      <c r="BZ75" s="58">
        <v>0.6129</v>
      </c>
      <c r="CA75" s="58">
        <v>0.88370000000000004</v>
      </c>
      <c r="CB75" s="58">
        <v>0.7097</v>
      </c>
      <c r="CC75" s="58">
        <v>1</v>
      </c>
      <c r="CD75" s="85" t="s">
        <v>2</v>
      </c>
      <c r="CE75" s="58" t="s">
        <v>2</v>
      </c>
      <c r="CF75" s="58">
        <v>0.99280000000000002</v>
      </c>
      <c r="CG75" s="58">
        <v>0.85709999999999997</v>
      </c>
      <c r="CH75" s="58">
        <v>1</v>
      </c>
      <c r="CI75" s="58">
        <v>0.33329999999999999</v>
      </c>
      <c r="CJ75" s="58">
        <v>1</v>
      </c>
      <c r="CK75" s="58">
        <v>1</v>
      </c>
      <c r="CL75" s="60">
        <v>33</v>
      </c>
      <c r="CM75" s="61">
        <v>42</v>
      </c>
      <c r="CN75" s="4"/>
    </row>
    <row r="76" spans="1:92" x14ac:dyDescent="0.25">
      <c r="A76" s="1" t="s">
        <v>87</v>
      </c>
      <c r="B76" s="2" t="s">
        <v>217</v>
      </c>
      <c r="C76" s="2" t="s">
        <v>280</v>
      </c>
      <c r="D76" s="2" t="s">
        <v>153</v>
      </c>
      <c r="E76" s="3">
        <v>29323</v>
      </c>
      <c r="F76" s="59">
        <v>3</v>
      </c>
      <c r="G76" s="59">
        <v>3</v>
      </c>
      <c r="H76" s="59">
        <v>3</v>
      </c>
      <c r="I76" s="59">
        <v>3</v>
      </c>
      <c r="J76" s="59">
        <v>2</v>
      </c>
      <c r="K76" s="59">
        <v>2</v>
      </c>
      <c r="L76" s="59">
        <v>3</v>
      </c>
      <c r="M76" s="59">
        <v>3</v>
      </c>
      <c r="N76" s="58">
        <v>0.46589999999999998</v>
      </c>
      <c r="O76" s="58">
        <v>0.73680000000000001</v>
      </c>
      <c r="P76" s="59">
        <v>0</v>
      </c>
      <c r="Q76" s="58">
        <v>0.2258</v>
      </c>
      <c r="R76" s="58">
        <v>0.129</v>
      </c>
      <c r="S76" s="59">
        <v>0</v>
      </c>
      <c r="T76" s="58">
        <v>0.21</v>
      </c>
      <c r="U76" s="58">
        <v>0.1053</v>
      </c>
      <c r="V76" s="59">
        <v>1</v>
      </c>
      <c r="W76" s="58">
        <v>0.1686</v>
      </c>
      <c r="X76" s="58">
        <v>0.16159999999999999</v>
      </c>
      <c r="Y76" s="59">
        <v>3</v>
      </c>
      <c r="Z76" s="58">
        <v>1.32E-2</v>
      </c>
      <c r="AA76" s="58">
        <v>1.2200000000000001E-2</v>
      </c>
      <c r="AB76" s="59">
        <v>2</v>
      </c>
      <c r="AC76" s="58">
        <v>0.10290000000000001</v>
      </c>
      <c r="AD76" s="58">
        <v>0.1212</v>
      </c>
      <c r="AE76" s="59">
        <v>3</v>
      </c>
      <c r="AF76" s="58">
        <v>0.28399999999999997</v>
      </c>
      <c r="AG76" s="58">
        <v>0.372</v>
      </c>
      <c r="AH76" s="72"/>
      <c r="AI76" s="58">
        <v>0.46589999999999998</v>
      </c>
      <c r="AJ76" s="58">
        <v>0.20449999999999999</v>
      </c>
      <c r="AK76" s="58">
        <v>0.98013245033112595</v>
      </c>
      <c r="AL76" s="58">
        <v>0.95041322314049603</v>
      </c>
      <c r="AM76" s="58">
        <v>0.97029702970297005</v>
      </c>
      <c r="AN76" s="58">
        <v>0.97350993377483397</v>
      </c>
      <c r="AO76" s="58">
        <v>0.95041322314049603</v>
      </c>
      <c r="AP76" s="58">
        <v>0.97247706422018398</v>
      </c>
      <c r="AQ76" s="58">
        <v>0.17142857142857101</v>
      </c>
      <c r="AR76" s="58">
        <v>7.4074074074074098E-2</v>
      </c>
      <c r="AS76" s="58">
        <v>0.52808988764044895</v>
      </c>
      <c r="AT76" s="58">
        <v>0.15107913669064699</v>
      </c>
      <c r="AU76" s="58">
        <v>4.6296296296296301E-2</v>
      </c>
      <c r="AV76" s="58">
        <v>0.35294117647058798</v>
      </c>
      <c r="AW76" s="58">
        <v>0.25</v>
      </c>
      <c r="AX76" s="58">
        <v>0.28571428571428598</v>
      </c>
      <c r="AY76" s="58">
        <v>0</v>
      </c>
      <c r="AZ76" s="58">
        <v>0.125</v>
      </c>
      <c r="BA76" s="58">
        <v>0.28571428571428598</v>
      </c>
      <c r="BB76" s="58">
        <v>0.5</v>
      </c>
      <c r="BC76" s="58">
        <v>0.44635989010989002</v>
      </c>
      <c r="BD76" s="58">
        <v>0.47487264215888703</v>
      </c>
      <c r="BE76" s="58">
        <v>0.35235703973385202</v>
      </c>
      <c r="BF76" s="58">
        <v>0.40126743370646401</v>
      </c>
      <c r="BG76" s="58">
        <v>0.38703703703703701</v>
      </c>
      <c r="BH76" s="58">
        <v>0.30502585649644498</v>
      </c>
      <c r="BI76" s="58" t="s">
        <v>152</v>
      </c>
      <c r="BJ76" s="58" t="s">
        <v>152</v>
      </c>
      <c r="BK76" s="58">
        <v>0.71530000000000005</v>
      </c>
      <c r="BL76" s="58">
        <v>0.16159999999999999</v>
      </c>
      <c r="BM76" s="58">
        <v>7.1999999999999998E-3</v>
      </c>
      <c r="BN76" s="58">
        <v>0.68</v>
      </c>
      <c r="BO76" s="58">
        <v>0.04</v>
      </c>
      <c r="BP76" s="58">
        <v>0.85709999999999997</v>
      </c>
      <c r="BQ76" s="58">
        <v>0.72</v>
      </c>
      <c r="BR76" s="58">
        <v>0</v>
      </c>
      <c r="BS76" s="58">
        <v>0.06</v>
      </c>
      <c r="BT76" s="58">
        <v>0.16</v>
      </c>
      <c r="BU76" s="58">
        <v>0.06</v>
      </c>
      <c r="BV76" s="58" t="s">
        <v>23</v>
      </c>
      <c r="BW76" s="58">
        <v>0.93410000000000004</v>
      </c>
      <c r="BX76" s="58">
        <v>0.67310000000000003</v>
      </c>
      <c r="BY76" s="58">
        <v>0.86670000000000003</v>
      </c>
      <c r="BZ76" s="58">
        <v>0.56730000000000003</v>
      </c>
      <c r="CA76" s="58">
        <v>0.90700000000000003</v>
      </c>
      <c r="CB76" s="58">
        <v>0.75</v>
      </c>
      <c r="CC76" s="58">
        <v>1</v>
      </c>
      <c r="CD76" s="85" t="s">
        <v>2</v>
      </c>
      <c r="CE76" s="85" t="s">
        <v>2</v>
      </c>
      <c r="CF76" s="58">
        <v>0.99239999999999995</v>
      </c>
      <c r="CG76" s="58">
        <v>1</v>
      </c>
      <c r="CH76" s="58">
        <v>1</v>
      </c>
      <c r="CI76" s="58">
        <v>0.1429</v>
      </c>
      <c r="CJ76" s="58">
        <v>0.52380000000000004</v>
      </c>
      <c r="CK76" s="58">
        <v>0.61899999999999999</v>
      </c>
      <c r="CL76" s="60">
        <v>31</v>
      </c>
      <c r="CM76" s="61">
        <v>42</v>
      </c>
      <c r="CN76" s="4"/>
    </row>
    <row r="77" spans="1:92" x14ac:dyDescent="0.25">
      <c r="A77" s="1" t="s">
        <v>88</v>
      </c>
      <c r="B77" s="2" t="s">
        <v>218</v>
      </c>
      <c r="C77" s="2" t="s">
        <v>281</v>
      </c>
      <c r="D77" s="2" t="s">
        <v>153</v>
      </c>
      <c r="E77" s="3">
        <v>29346</v>
      </c>
      <c r="F77" s="59">
        <v>3</v>
      </c>
      <c r="G77" s="59">
        <v>3</v>
      </c>
      <c r="H77" s="59">
        <v>3</v>
      </c>
      <c r="I77" s="59">
        <v>3</v>
      </c>
      <c r="J77" s="59">
        <v>3</v>
      </c>
      <c r="K77" s="59">
        <v>3</v>
      </c>
      <c r="L77" s="59">
        <v>3</v>
      </c>
      <c r="M77" s="59">
        <v>3</v>
      </c>
      <c r="N77" s="58">
        <v>0.65629999999999999</v>
      </c>
      <c r="O77" s="58">
        <v>0.60870000000000002</v>
      </c>
      <c r="P77" s="59">
        <v>3</v>
      </c>
      <c r="Q77" s="58">
        <v>0.125</v>
      </c>
      <c r="R77" s="58">
        <v>0.15</v>
      </c>
      <c r="S77" s="59">
        <v>2</v>
      </c>
      <c r="T77" s="58">
        <v>0.14080000000000001</v>
      </c>
      <c r="U77" s="58">
        <v>0.1167</v>
      </c>
      <c r="V77" s="59">
        <v>3</v>
      </c>
      <c r="W77" s="58">
        <v>0.10639999999999999</v>
      </c>
      <c r="X77" s="58">
        <v>0.11749999999999999</v>
      </c>
      <c r="Y77" s="59">
        <v>2</v>
      </c>
      <c r="Z77" s="58">
        <v>0.21429999999999999</v>
      </c>
      <c r="AA77" s="58">
        <v>0.3125</v>
      </c>
      <c r="AB77" s="59">
        <v>0</v>
      </c>
      <c r="AC77" s="58">
        <v>0.1135</v>
      </c>
      <c r="AD77" s="58">
        <v>0.15939999999999999</v>
      </c>
      <c r="AE77" s="59">
        <v>3</v>
      </c>
      <c r="AF77" s="58">
        <v>0.28299999999999997</v>
      </c>
      <c r="AG77" s="58">
        <v>0.313</v>
      </c>
      <c r="AH77" s="72"/>
      <c r="AI77" s="58">
        <v>0.65629999999999999</v>
      </c>
      <c r="AJ77" s="58">
        <v>0.15629999999999999</v>
      </c>
      <c r="AK77" s="58">
        <v>1</v>
      </c>
      <c r="AL77" s="58">
        <v>1</v>
      </c>
      <c r="AM77" s="58">
        <v>1</v>
      </c>
      <c r="AN77" s="58">
        <v>1</v>
      </c>
      <c r="AO77" s="58">
        <v>1</v>
      </c>
      <c r="AP77" s="58">
        <v>1</v>
      </c>
      <c r="AQ77" s="58">
        <v>0.22222222222222199</v>
      </c>
      <c r="AR77" s="58">
        <v>9.0909090909090898E-2</v>
      </c>
      <c r="AS77" s="58">
        <v>0.6</v>
      </c>
      <c r="AT77" s="58">
        <v>0.18518518518518501</v>
      </c>
      <c r="AU77" s="58">
        <v>6.0606060606060601E-2</v>
      </c>
      <c r="AV77" s="58">
        <v>0.31034482758620702</v>
      </c>
      <c r="AW77" s="58" t="s">
        <v>23</v>
      </c>
      <c r="AX77" s="58" t="s">
        <v>23</v>
      </c>
      <c r="AY77" s="58">
        <v>1</v>
      </c>
      <c r="AZ77" s="58" t="s">
        <v>23</v>
      </c>
      <c r="BA77" s="58" t="s">
        <v>23</v>
      </c>
      <c r="BB77" s="58">
        <v>0</v>
      </c>
      <c r="BC77" s="58">
        <v>0.250831669993347</v>
      </c>
      <c r="BD77" s="58">
        <v>0.40909090909090901</v>
      </c>
      <c r="BE77" s="58">
        <v>0.27428571428571402</v>
      </c>
      <c r="BF77" s="58">
        <v>0.35972499445553302</v>
      </c>
      <c r="BG77" s="58">
        <v>0.20003223726628</v>
      </c>
      <c r="BH77" s="58">
        <v>0.25375773651635702</v>
      </c>
      <c r="BI77" s="58" t="s">
        <v>2</v>
      </c>
      <c r="BJ77" s="58" t="s">
        <v>2</v>
      </c>
      <c r="BK77" s="58">
        <v>0.69299999999999995</v>
      </c>
      <c r="BL77" s="58">
        <v>0.11749999999999999</v>
      </c>
      <c r="BM77" s="58">
        <v>9.5999999999999992E-3</v>
      </c>
      <c r="BN77" s="58">
        <v>0.16669999999999999</v>
      </c>
      <c r="BO77" s="58">
        <v>0.33329999999999999</v>
      </c>
      <c r="BP77" s="58">
        <v>1</v>
      </c>
      <c r="BQ77" s="58">
        <v>0.66669999999999996</v>
      </c>
      <c r="BR77" s="58">
        <v>0.33329999999999999</v>
      </c>
      <c r="BS77" s="58" t="s">
        <v>23</v>
      </c>
      <c r="BT77" s="58">
        <v>0.16669999999999999</v>
      </c>
      <c r="BU77" s="58" t="s">
        <v>23</v>
      </c>
      <c r="BV77" s="58" t="s">
        <v>23</v>
      </c>
      <c r="BW77" s="58">
        <v>0.81479999999999997</v>
      </c>
      <c r="BX77" s="58">
        <v>0.64710000000000001</v>
      </c>
      <c r="BY77" s="58">
        <v>0.91180000000000005</v>
      </c>
      <c r="BZ77" s="58">
        <v>0.61760000000000004</v>
      </c>
      <c r="CA77" s="58">
        <v>0.92</v>
      </c>
      <c r="CB77" s="58">
        <v>0.79410000000000003</v>
      </c>
      <c r="CC77" s="58" t="s">
        <v>23</v>
      </c>
      <c r="CD77" s="85" t="s">
        <v>2</v>
      </c>
      <c r="CE77" s="85" t="s">
        <v>2</v>
      </c>
      <c r="CF77" s="58">
        <v>1</v>
      </c>
      <c r="CG77" s="58">
        <v>1</v>
      </c>
      <c r="CH77" s="58">
        <v>1</v>
      </c>
      <c r="CI77" s="58">
        <v>0.18179999999999999</v>
      </c>
      <c r="CJ77" s="58">
        <v>0.45450000000000002</v>
      </c>
      <c r="CK77" s="58">
        <v>0.63639999999999997</v>
      </c>
      <c r="CL77" s="60">
        <v>37</v>
      </c>
      <c r="CM77" s="61">
        <v>42</v>
      </c>
      <c r="CN77" s="4"/>
    </row>
    <row r="78" spans="1:92" x14ac:dyDescent="0.25">
      <c r="A78" s="1" t="s">
        <v>89</v>
      </c>
      <c r="B78" s="2" t="s">
        <v>219</v>
      </c>
      <c r="C78" s="2" t="s">
        <v>282</v>
      </c>
      <c r="D78" s="2" t="s">
        <v>153</v>
      </c>
      <c r="E78" s="3">
        <v>29388</v>
      </c>
      <c r="F78" s="59">
        <v>3</v>
      </c>
      <c r="G78" s="59">
        <v>3</v>
      </c>
      <c r="H78" s="59">
        <v>2</v>
      </c>
      <c r="I78" s="59">
        <v>3</v>
      </c>
      <c r="J78" s="59">
        <v>2</v>
      </c>
      <c r="K78" s="59">
        <v>3</v>
      </c>
      <c r="L78" s="59">
        <v>3</v>
      </c>
      <c r="M78" s="59">
        <v>0</v>
      </c>
      <c r="N78" s="58">
        <v>0.54549999999999998</v>
      </c>
      <c r="O78" s="58">
        <v>0.36359999999999998</v>
      </c>
      <c r="P78" s="59">
        <v>3</v>
      </c>
      <c r="Q78" s="58">
        <v>6.7599999999999993E-2</v>
      </c>
      <c r="R78" s="58">
        <v>0.15479999999999999</v>
      </c>
      <c r="S78" s="59">
        <v>3</v>
      </c>
      <c r="T78" s="58">
        <v>9.5899999999999999E-2</v>
      </c>
      <c r="U78" s="58">
        <v>0.1905</v>
      </c>
      <c r="V78" s="59">
        <v>0</v>
      </c>
      <c r="W78" s="58">
        <v>0.19189999999999999</v>
      </c>
      <c r="X78" s="58">
        <v>0.2051</v>
      </c>
      <c r="Y78" s="59">
        <v>0</v>
      </c>
      <c r="Z78" s="58">
        <v>0.4118</v>
      </c>
      <c r="AA78" s="58">
        <v>0.45450000000000002</v>
      </c>
      <c r="AB78" s="59">
        <v>0</v>
      </c>
      <c r="AC78" s="58">
        <v>0.1216</v>
      </c>
      <c r="AD78" s="58">
        <v>0.2145</v>
      </c>
      <c r="AE78" s="59">
        <v>3</v>
      </c>
      <c r="AF78" s="58">
        <v>0.29599999999999999</v>
      </c>
      <c r="AG78" s="58">
        <v>0.34599999999999997</v>
      </c>
      <c r="AH78" s="72"/>
      <c r="AI78" s="58">
        <v>0.54549999999999998</v>
      </c>
      <c r="AJ78" s="58">
        <v>0.30299999999999999</v>
      </c>
      <c r="AK78" s="58">
        <v>1</v>
      </c>
      <c r="AL78" s="58">
        <v>0.97058823529411797</v>
      </c>
      <c r="AM78" s="58">
        <v>1</v>
      </c>
      <c r="AN78" s="58">
        <v>1</v>
      </c>
      <c r="AO78" s="58">
        <v>0.97058823529411797</v>
      </c>
      <c r="AP78" s="58">
        <v>1</v>
      </c>
      <c r="AQ78" s="58">
        <v>0.22222222222222199</v>
      </c>
      <c r="AR78" s="58">
        <v>3.3333333333333298E-2</v>
      </c>
      <c r="AS78" s="58">
        <v>0.52631578947368396</v>
      </c>
      <c r="AT78" s="58">
        <v>0.27777777777777801</v>
      </c>
      <c r="AU78" s="58">
        <v>3.3333333333333298E-2</v>
      </c>
      <c r="AV78" s="58">
        <v>0.21052631578947401</v>
      </c>
      <c r="AW78" s="58">
        <v>0</v>
      </c>
      <c r="AX78" s="58">
        <v>0</v>
      </c>
      <c r="AY78" s="58">
        <v>0</v>
      </c>
      <c r="AZ78" s="58">
        <v>0.33333333333333298</v>
      </c>
      <c r="BA78" s="58">
        <v>0.33333333333333298</v>
      </c>
      <c r="BB78" s="58" t="s">
        <v>23</v>
      </c>
      <c r="BC78" s="58">
        <v>0.34728450423517698</v>
      </c>
      <c r="BD78" s="58">
        <v>0.449920255183413</v>
      </c>
      <c r="BE78" s="58">
        <v>0.38952579468473197</v>
      </c>
      <c r="BF78" s="58">
        <v>0.32760338814150503</v>
      </c>
      <c r="BG78" s="58">
        <v>0.354226475279107</v>
      </c>
      <c r="BH78" s="58">
        <v>0.52860411899313497</v>
      </c>
      <c r="BI78" s="58" t="s">
        <v>152</v>
      </c>
      <c r="BJ78" s="58" t="s">
        <v>2</v>
      </c>
      <c r="BK78" s="58">
        <v>0.57950000000000002</v>
      </c>
      <c r="BL78" s="58">
        <v>0.2051</v>
      </c>
      <c r="BM78" s="58">
        <v>2.0500000000000001E-2</v>
      </c>
      <c r="BN78" s="58" t="s">
        <v>23</v>
      </c>
      <c r="BO78" s="58">
        <v>0.66669999999999996</v>
      </c>
      <c r="BP78" s="58" t="s">
        <v>23</v>
      </c>
      <c r="BQ78" s="58">
        <v>0.625</v>
      </c>
      <c r="BR78" s="58">
        <v>0.375</v>
      </c>
      <c r="BS78" s="58" t="s">
        <v>23</v>
      </c>
      <c r="BT78" s="58" t="s">
        <v>23</v>
      </c>
      <c r="BU78" s="58" t="s">
        <v>23</v>
      </c>
      <c r="BV78" s="58" t="s">
        <v>23</v>
      </c>
      <c r="BW78" s="58">
        <v>0.94440000000000002</v>
      </c>
      <c r="BX78" s="58">
        <v>0.26319999999999999</v>
      </c>
      <c r="BY78" s="58">
        <v>0.94120000000000004</v>
      </c>
      <c r="BZ78" s="58">
        <v>0.42109999999999997</v>
      </c>
      <c r="CA78" s="58">
        <v>1</v>
      </c>
      <c r="CB78" s="58">
        <v>0.68420000000000003</v>
      </c>
      <c r="CC78" s="58">
        <v>1</v>
      </c>
      <c r="CD78" s="85" t="s">
        <v>2</v>
      </c>
      <c r="CE78" s="85" t="s">
        <v>2</v>
      </c>
      <c r="CF78" s="58">
        <v>0.9778</v>
      </c>
      <c r="CG78" s="58">
        <v>1</v>
      </c>
      <c r="CH78" s="58">
        <v>0</v>
      </c>
      <c r="CI78" s="58">
        <v>0.1111</v>
      </c>
      <c r="CJ78" s="58">
        <v>0.66669999999999996</v>
      </c>
      <c r="CK78" s="58">
        <v>0.77780000000000005</v>
      </c>
      <c r="CL78" s="60">
        <v>28</v>
      </c>
      <c r="CM78" s="61">
        <v>42</v>
      </c>
      <c r="CN78" s="4"/>
    </row>
    <row r="79" spans="1:92" x14ac:dyDescent="0.25">
      <c r="A79" s="1" t="s">
        <v>90</v>
      </c>
      <c r="B79" s="2" t="s">
        <v>220</v>
      </c>
      <c r="C79" s="2" t="s">
        <v>283</v>
      </c>
      <c r="D79" s="2" t="s">
        <v>153</v>
      </c>
      <c r="E79" s="3">
        <v>29334</v>
      </c>
      <c r="F79" s="59">
        <v>3</v>
      </c>
      <c r="G79" s="59">
        <v>3</v>
      </c>
      <c r="H79" s="59">
        <v>3</v>
      </c>
      <c r="I79" s="59">
        <v>3</v>
      </c>
      <c r="J79" s="59">
        <v>2</v>
      </c>
      <c r="K79" s="59">
        <v>3</v>
      </c>
      <c r="L79" s="59">
        <v>3</v>
      </c>
      <c r="M79" s="59">
        <v>3</v>
      </c>
      <c r="N79" s="58">
        <v>0.66279999999999994</v>
      </c>
      <c r="O79" s="58">
        <v>0.71130000000000004</v>
      </c>
      <c r="P79" s="59">
        <v>3</v>
      </c>
      <c r="Q79" s="58">
        <v>0.14849999999999999</v>
      </c>
      <c r="R79" s="58">
        <v>0.1477</v>
      </c>
      <c r="S79" s="59">
        <v>2</v>
      </c>
      <c r="T79" s="58">
        <v>0.1386</v>
      </c>
      <c r="U79" s="58">
        <v>0.12709999999999999</v>
      </c>
      <c r="V79" s="59">
        <v>3</v>
      </c>
      <c r="W79" s="58">
        <v>9.7299999999999998E-2</v>
      </c>
      <c r="X79" s="58">
        <v>0.1109</v>
      </c>
      <c r="Y79" s="59">
        <v>3</v>
      </c>
      <c r="Z79" s="58">
        <v>2.86E-2</v>
      </c>
      <c r="AA79" s="58">
        <v>9.2600000000000002E-2</v>
      </c>
      <c r="AB79" s="59">
        <v>2</v>
      </c>
      <c r="AC79" s="58">
        <v>7.8200000000000006E-2</v>
      </c>
      <c r="AD79" s="58">
        <v>0.13800000000000001</v>
      </c>
      <c r="AE79" s="59">
        <v>0</v>
      </c>
      <c r="AF79" s="58">
        <v>0.28399999999999997</v>
      </c>
      <c r="AG79" s="58">
        <v>0.28000000000000003</v>
      </c>
      <c r="AH79" s="72"/>
      <c r="AI79" s="58">
        <v>0.66279999999999994</v>
      </c>
      <c r="AJ79" s="58">
        <v>0.26740000000000003</v>
      </c>
      <c r="AK79" s="58">
        <v>0.99270072992700698</v>
      </c>
      <c r="AL79" s="58">
        <v>0.98214285714285698</v>
      </c>
      <c r="AM79" s="58">
        <v>0.93</v>
      </c>
      <c r="AN79" s="58">
        <v>0.99264705882352899</v>
      </c>
      <c r="AO79" s="58">
        <v>0.98214285714285698</v>
      </c>
      <c r="AP79" s="58">
        <v>0.918604651162791</v>
      </c>
      <c r="AQ79" s="58">
        <v>0.21804511278195499</v>
      </c>
      <c r="AR79" s="58">
        <v>5.7692307692307702E-2</v>
      </c>
      <c r="AS79" s="58">
        <v>0.53488372093023295</v>
      </c>
      <c r="AT79" s="58">
        <v>0.19696969696969699</v>
      </c>
      <c r="AU79" s="58">
        <v>3.8461538461538498E-2</v>
      </c>
      <c r="AV79" s="58">
        <v>0.24657534246575299</v>
      </c>
      <c r="AW79" s="58">
        <v>0</v>
      </c>
      <c r="AX79" s="58">
        <v>0.33333333333333298</v>
      </c>
      <c r="AY79" s="58">
        <v>0.28571428571428598</v>
      </c>
      <c r="AZ79" s="58">
        <v>0.66666666666666696</v>
      </c>
      <c r="BA79" s="58">
        <v>0.33333333333333298</v>
      </c>
      <c r="BB79" s="58">
        <v>0.5</v>
      </c>
      <c r="BC79" s="58">
        <v>0.366935124372195</v>
      </c>
      <c r="BD79" s="58">
        <v>0.42215655880643299</v>
      </c>
      <c r="BE79" s="58">
        <v>0.35095442935878501</v>
      </c>
      <c r="BF79" s="58">
        <v>0.31629290249979902</v>
      </c>
      <c r="BG79" s="58">
        <v>0.35750315258512</v>
      </c>
      <c r="BH79" s="58">
        <v>0.36241342157918999</v>
      </c>
      <c r="BI79" s="58" t="s">
        <v>2</v>
      </c>
      <c r="BJ79" s="58" t="s">
        <v>2</v>
      </c>
      <c r="BK79" s="58">
        <v>0.77470000000000006</v>
      </c>
      <c r="BL79" s="58">
        <v>0.1109</v>
      </c>
      <c r="BM79" s="58">
        <v>1.7100000000000001E-2</v>
      </c>
      <c r="BN79" s="58">
        <v>4.7600000000000003E-2</v>
      </c>
      <c r="BO79" s="58">
        <v>0</v>
      </c>
      <c r="BP79" s="58">
        <v>0.22220000000000001</v>
      </c>
      <c r="BQ79" s="58">
        <v>0.28070000000000001</v>
      </c>
      <c r="BR79" s="58">
        <v>0.15790000000000001</v>
      </c>
      <c r="BS79" s="58">
        <v>0</v>
      </c>
      <c r="BT79" s="58">
        <v>0</v>
      </c>
      <c r="BU79" s="58">
        <v>0</v>
      </c>
      <c r="BV79" s="58" t="s">
        <v>23</v>
      </c>
      <c r="BW79" s="58">
        <v>0.82569999999999999</v>
      </c>
      <c r="BX79" s="58">
        <v>0.4667</v>
      </c>
      <c r="BY79" s="58">
        <v>0.83909999999999996</v>
      </c>
      <c r="BZ79" s="58">
        <v>0.54169999999999996</v>
      </c>
      <c r="CA79" s="58">
        <v>0.79790000000000005</v>
      </c>
      <c r="CB79" s="58">
        <v>0.60829999999999995</v>
      </c>
      <c r="CC79" s="58">
        <v>0.94740000000000002</v>
      </c>
      <c r="CD79" s="85" t="s">
        <v>2</v>
      </c>
      <c r="CE79" s="85" t="s">
        <v>2</v>
      </c>
      <c r="CF79" s="58">
        <v>0.99670000000000003</v>
      </c>
      <c r="CG79" s="58">
        <v>1</v>
      </c>
      <c r="CH79" s="58">
        <v>1</v>
      </c>
      <c r="CI79" s="58">
        <v>0.1923</v>
      </c>
      <c r="CJ79" s="58">
        <v>0.57689999999999997</v>
      </c>
      <c r="CK79" s="58">
        <v>0.61539999999999995</v>
      </c>
      <c r="CL79" s="60">
        <v>36</v>
      </c>
      <c r="CM79" s="61">
        <v>42</v>
      </c>
      <c r="CN79" s="4"/>
    </row>
    <row r="80" spans="1:92" x14ac:dyDescent="0.25">
      <c r="A80" s="1" t="s">
        <v>91</v>
      </c>
      <c r="B80" s="2" t="s">
        <v>221</v>
      </c>
      <c r="C80" s="2" t="s">
        <v>284</v>
      </c>
      <c r="D80" s="2" t="s">
        <v>153</v>
      </c>
      <c r="E80" s="3">
        <v>29376</v>
      </c>
      <c r="F80" s="59">
        <v>3</v>
      </c>
      <c r="G80" s="59">
        <v>3</v>
      </c>
      <c r="H80" s="59">
        <v>3</v>
      </c>
      <c r="I80" s="59">
        <v>3</v>
      </c>
      <c r="J80" s="59">
        <v>3</v>
      </c>
      <c r="K80" s="59">
        <v>3</v>
      </c>
      <c r="L80" s="59">
        <v>3</v>
      </c>
      <c r="M80" s="59">
        <v>3</v>
      </c>
      <c r="N80" s="58">
        <v>0.58819999999999995</v>
      </c>
      <c r="O80" s="58">
        <v>0.64559999999999995</v>
      </c>
      <c r="P80" s="59">
        <v>1</v>
      </c>
      <c r="Q80" s="58">
        <v>7.6300000000000007E-2</v>
      </c>
      <c r="R80" s="58">
        <v>9.5100000000000004E-2</v>
      </c>
      <c r="S80" s="59">
        <v>1</v>
      </c>
      <c r="T80" s="58">
        <v>5.8099999999999999E-2</v>
      </c>
      <c r="U80" s="58">
        <v>8.6199999999999999E-2</v>
      </c>
      <c r="V80" s="59">
        <v>1</v>
      </c>
      <c r="W80" s="58">
        <v>0.20849999999999999</v>
      </c>
      <c r="X80" s="58">
        <v>0.19900000000000001</v>
      </c>
      <c r="Y80" s="59">
        <v>3</v>
      </c>
      <c r="Z80" s="58">
        <v>6.1899999999999997E-2</v>
      </c>
      <c r="AA80" s="58">
        <v>5.0500000000000003E-2</v>
      </c>
      <c r="AB80" s="59">
        <v>0</v>
      </c>
      <c r="AC80" s="58">
        <v>9.2700000000000005E-2</v>
      </c>
      <c r="AD80" s="58">
        <v>0.15809999999999999</v>
      </c>
      <c r="AE80" s="59">
        <v>1</v>
      </c>
      <c r="AF80" s="58">
        <v>0.151</v>
      </c>
      <c r="AG80" s="58">
        <v>0.28699999999999998</v>
      </c>
      <c r="AH80" s="72"/>
      <c r="AI80" s="58">
        <v>0.58819999999999995</v>
      </c>
      <c r="AJ80" s="58">
        <v>0.31759999999999999</v>
      </c>
      <c r="AK80" s="58">
        <v>0.995</v>
      </c>
      <c r="AL80" s="58">
        <v>0.93081761006289299</v>
      </c>
      <c r="AM80" s="58">
        <v>0.96638655462184897</v>
      </c>
      <c r="AN80" s="58">
        <v>0.98499999999999999</v>
      </c>
      <c r="AO80" s="58">
        <v>0.93081761006289299</v>
      </c>
      <c r="AP80" s="58">
        <v>0.97435897435897401</v>
      </c>
      <c r="AQ80" s="58">
        <v>0.12953367875647701</v>
      </c>
      <c r="AR80" s="58">
        <v>4.5112781954887202E-2</v>
      </c>
      <c r="AS80" s="58">
        <v>0.49549549549549499</v>
      </c>
      <c r="AT80" s="58">
        <v>0.13020833333333301</v>
      </c>
      <c r="AU80" s="58">
        <v>2.2556390977443601E-2</v>
      </c>
      <c r="AV80" s="58">
        <v>0.25342465753424698</v>
      </c>
      <c r="AW80" s="58">
        <v>0.5</v>
      </c>
      <c r="AX80" s="58">
        <v>0.133333333333333</v>
      </c>
      <c r="AY80" s="58">
        <v>0.5</v>
      </c>
      <c r="AZ80" s="58">
        <v>0.2</v>
      </c>
      <c r="BA80" s="58">
        <v>0.133333333333333</v>
      </c>
      <c r="BB80" s="58">
        <v>0.16666666666666699</v>
      </c>
      <c r="BC80" s="58">
        <v>0.28469757918507399</v>
      </c>
      <c r="BD80" s="58">
        <v>0.35138228923897902</v>
      </c>
      <c r="BE80" s="58">
        <v>0.30018018018018</v>
      </c>
      <c r="BF80" s="58">
        <v>0.26419370229007599</v>
      </c>
      <c r="BG80" s="58">
        <v>0.215694975142775</v>
      </c>
      <c r="BH80" s="58">
        <v>0.44003729316243101</v>
      </c>
      <c r="BI80" s="58" t="s">
        <v>2</v>
      </c>
      <c r="BJ80" s="58" t="s">
        <v>2</v>
      </c>
      <c r="BK80" s="58">
        <v>0.69979999999999998</v>
      </c>
      <c r="BL80" s="58">
        <v>0.19900000000000001</v>
      </c>
      <c r="BM80" s="58">
        <v>1.41E-2</v>
      </c>
      <c r="BN80" s="58">
        <v>0.88890000000000002</v>
      </c>
      <c r="BO80" s="58">
        <v>2.7799999999999998E-2</v>
      </c>
      <c r="BP80" s="58">
        <v>0.81820000000000004</v>
      </c>
      <c r="BQ80" s="58">
        <v>0.84619999999999995</v>
      </c>
      <c r="BR80" s="58">
        <v>5.7700000000000001E-2</v>
      </c>
      <c r="BS80" s="58">
        <v>0</v>
      </c>
      <c r="BT80" s="58">
        <v>0</v>
      </c>
      <c r="BU80" s="58">
        <v>0</v>
      </c>
      <c r="BV80" s="58">
        <v>0</v>
      </c>
      <c r="BW80" s="58">
        <v>0.86</v>
      </c>
      <c r="BX80" s="58">
        <v>0.59460000000000002</v>
      </c>
      <c r="BY80" s="58">
        <v>0.80210000000000004</v>
      </c>
      <c r="BZ80" s="58">
        <v>0.58560000000000001</v>
      </c>
      <c r="CA80" s="58">
        <v>0.86460000000000004</v>
      </c>
      <c r="CB80" s="58">
        <v>0.69369999999999998</v>
      </c>
      <c r="CC80" s="58">
        <v>1</v>
      </c>
      <c r="CD80" s="85" t="s">
        <v>2</v>
      </c>
      <c r="CE80" s="85" t="s">
        <v>2</v>
      </c>
      <c r="CF80" s="58">
        <v>1</v>
      </c>
      <c r="CG80" s="58">
        <v>1</v>
      </c>
      <c r="CH80" s="58">
        <v>1</v>
      </c>
      <c r="CI80" s="58">
        <v>0.33329999999999999</v>
      </c>
      <c r="CJ80" s="58">
        <v>0.76190000000000002</v>
      </c>
      <c r="CK80" s="58">
        <v>0.76190000000000002</v>
      </c>
      <c r="CL80" s="60">
        <v>31</v>
      </c>
      <c r="CM80" s="61">
        <v>42</v>
      </c>
      <c r="CN80" s="4"/>
    </row>
    <row r="81" spans="1:92" x14ac:dyDescent="0.25">
      <c r="A81" s="1" t="s">
        <v>92</v>
      </c>
      <c r="B81" s="2" t="s">
        <v>222</v>
      </c>
      <c r="C81" s="2" t="s">
        <v>278</v>
      </c>
      <c r="D81" s="2" t="s">
        <v>153</v>
      </c>
      <c r="E81" s="3">
        <v>29307</v>
      </c>
      <c r="F81" s="59">
        <v>3</v>
      </c>
      <c r="G81" s="59">
        <v>3</v>
      </c>
      <c r="H81" s="59">
        <v>3</v>
      </c>
      <c r="I81" s="59">
        <v>3</v>
      </c>
      <c r="J81" s="59">
        <v>2</v>
      </c>
      <c r="K81" s="59">
        <v>3</v>
      </c>
      <c r="L81" s="59">
        <v>3</v>
      </c>
      <c r="M81" s="59">
        <v>1</v>
      </c>
      <c r="N81" s="58">
        <v>0.47620000000000001</v>
      </c>
      <c r="O81" s="58">
        <v>0.5091</v>
      </c>
      <c r="P81" s="59">
        <v>0</v>
      </c>
      <c r="Q81" s="58">
        <v>0.1</v>
      </c>
      <c r="R81" s="58">
        <v>8.9300000000000004E-2</v>
      </c>
      <c r="S81" s="59">
        <v>1</v>
      </c>
      <c r="T81" s="58">
        <v>8.4500000000000006E-2</v>
      </c>
      <c r="U81" s="58">
        <v>9.4700000000000006E-2</v>
      </c>
      <c r="V81" s="59">
        <v>1</v>
      </c>
      <c r="W81" s="58">
        <v>0.26290000000000002</v>
      </c>
      <c r="X81" s="58">
        <v>0.25130000000000002</v>
      </c>
      <c r="Y81" s="59">
        <v>3</v>
      </c>
      <c r="Z81" s="58">
        <v>1.8200000000000001E-2</v>
      </c>
      <c r="AA81" s="58">
        <v>1.89E-2</v>
      </c>
      <c r="AB81" s="59">
        <v>0</v>
      </c>
      <c r="AC81" s="58">
        <v>0.11609999999999999</v>
      </c>
      <c r="AD81" s="58">
        <v>0.215</v>
      </c>
      <c r="AE81" s="59">
        <v>1</v>
      </c>
      <c r="AF81" s="58">
        <v>0.159</v>
      </c>
      <c r="AG81" s="58">
        <v>0.16700000000000001</v>
      </c>
      <c r="AH81" s="72"/>
      <c r="AI81" s="58">
        <v>0.47620000000000001</v>
      </c>
      <c r="AJ81" s="58">
        <v>0.28570000000000001</v>
      </c>
      <c r="AK81" s="58">
        <v>0.97916666666666696</v>
      </c>
      <c r="AL81" s="58">
        <v>0.95348837209302295</v>
      </c>
      <c r="AM81" s="58">
        <v>0.9375</v>
      </c>
      <c r="AN81" s="58">
        <v>0.98958333333333304</v>
      </c>
      <c r="AO81" s="58">
        <v>0.95348837209302295</v>
      </c>
      <c r="AP81" s="58">
        <v>0.96296296296296302</v>
      </c>
      <c r="AQ81" s="58">
        <v>0.12765957446808501</v>
      </c>
      <c r="AR81" s="58">
        <v>4.0540540540540501E-2</v>
      </c>
      <c r="AS81" s="58">
        <v>0.46341463414634099</v>
      </c>
      <c r="AT81" s="58">
        <v>0.14736842105263201</v>
      </c>
      <c r="AU81" s="58">
        <v>2.7027027027027001E-2</v>
      </c>
      <c r="AV81" s="58">
        <v>0.36734693877551</v>
      </c>
      <c r="AW81" s="58" t="s">
        <v>23</v>
      </c>
      <c r="AX81" s="58">
        <v>0.25</v>
      </c>
      <c r="AY81" s="58">
        <v>0.5</v>
      </c>
      <c r="AZ81" s="58" t="s">
        <v>23</v>
      </c>
      <c r="BA81" s="58">
        <v>0.5</v>
      </c>
      <c r="BB81" s="58">
        <v>0</v>
      </c>
      <c r="BC81" s="58">
        <v>0.33636920251033198</v>
      </c>
      <c r="BD81" s="58">
        <v>0.34804141157732299</v>
      </c>
      <c r="BE81" s="58">
        <v>0.39135715008602401</v>
      </c>
      <c r="BF81" s="58">
        <v>0.27019430296170499</v>
      </c>
      <c r="BG81" s="58">
        <v>0.22755172755172801</v>
      </c>
      <c r="BH81" s="58">
        <v>0.261224489795918</v>
      </c>
      <c r="BI81" s="58" t="s">
        <v>2</v>
      </c>
      <c r="BJ81" s="58" t="s">
        <v>2</v>
      </c>
      <c r="BK81" s="58">
        <v>0.62560000000000004</v>
      </c>
      <c r="BL81" s="58">
        <v>0.25130000000000002</v>
      </c>
      <c r="BM81" s="58">
        <v>1.7399999999999999E-2</v>
      </c>
      <c r="BN81" s="58">
        <v>0.9</v>
      </c>
      <c r="BO81" s="58">
        <v>0.05</v>
      </c>
      <c r="BP81" s="58">
        <v>1</v>
      </c>
      <c r="BQ81" s="58">
        <v>0.96430000000000005</v>
      </c>
      <c r="BR81" s="58">
        <v>0</v>
      </c>
      <c r="BS81" s="58">
        <v>0</v>
      </c>
      <c r="BT81" s="58">
        <v>0.05</v>
      </c>
      <c r="BU81" s="58">
        <v>0</v>
      </c>
      <c r="BV81" s="58" t="s">
        <v>23</v>
      </c>
      <c r="BW81" s="58">
        <v>0.71109999999999995</v>
      </c>
      <c r="BX81" s="58">
        <v>0.41670000000000001</v>
      </c>
      <c r="BY81" s="58">
        <v>0.65790000000000004</v>
      </c>
      <c r="BZ81" s="58">
        <v>0.4375</v>
      </c>
      <c r="CA81" s="58">
        <v>0.69230000000000003</v>
      </c>
      <c r="CB81" s="58">
        <v>0.54169999999999996</v>
      </c>
      <c r="CC81" s="58">
        <v>1</v>
      </c>
      <c r="CD81" s="85" t="s">
        <v>2</v>
      </c>
      <c r="CE81" s="85" t="s">
        <v>2</v>
      </c>
      <c r="CF81" s="58">
        <v>0.99119999999999997</v>
      </c>
      <c r="CG81" s="58">
        <v>1</v>
      </c>
      <c r="CH81" s="58">
        <v>1</v>
      </c>
      <c r="CI81" s="58">
        <v>0.1111</v>
      </c>
      <c r="CJ81" s="58">
        <v>0.77780000000000005</v>
      </c>
      <c r="CK81" s="58">
        <v>0.77780000000000005</v>
      </c>
      <c r="CL81" s="60">
        <v>27</v>
      </c>
      <c r="CM81" s="61">
        <v>42</v>
      </c>
      <c r="CN81" s="4"/>
    </row>
    <row r="82" spans="1:92" x14ac:dyDescent="0.25">
      <c r="A82" s="1" t="s">
        <v>93</v>
      </c>
      <c r="B82" s="2" t="s">
        <v>223</v>
      </c>
      <c r="C82" s="2" t="s">
        <v>285</v>
      </c>
      <c r="D82" s="2" t="s">
        <v>153</v>
      </c>
      <c r="E82" s="3">
        <v>29150</v>
      </c>
      <c r="F82" s="59">
        <v>3</v>
      </c>
      <c r="G82" s="59">
        <v>3</v>
      </c>
      <c r="H82" s="59">
        <v>2</v>
      </c>
      <c r="I82" s="59">
        <v>3</v>
      </c>
      <c r="J82" s="59">
        <v>3</v>
      </c>
      <c r="K82" s="59">
        <v>3</v>
      </c>
      <c r="L82" s="59">
        <v>3</v>
      </c>
      <c r="M82" s="59">
        <v>0</v>
      </c>
      <c r="N82" s="58">
        <v>0.50680000000000003</v>
      </c>
      <c r="O82" s="58">
        <v>0.42859999999999998</v>
      </c>
      <c r="P82" s="59">
        <v>1</v>
      </c>
      <c r="Q82" s="58">
        <v>3.0700000000000002E-2</v>
      </c>
      <c r="R82" s="58">
        <v>7.0800000000000002E-2</v>
      </c>
      <c r="S82" s="59">
        <v>1</v>
      </c>
      <c r="T82" s="58">
        <v>2.8500000000000001E-2</v>
      </c>
      <c r="U82" s="58">
        <v>4.5499999999999999E-2</v>
      </c>
      <c r="V82" s="59">
        <v>3</v>
      </c>
      <c r="W82" s="58">
        <v>0.12189999999999999</v>
      </c>
      <c r="X82" s="58">
        <v>0.1135</v>
      </c>
      <c r="Y82" s="59">
        <v>0</v>
      </c>
      <c r="Z82" s="58">
        <v>0.68630000000000002</v>
      </c>
      <c r="AA82" s="58">
        <v>0.82499999999999996</v>
      </c>
      <c r="AB82" s="59">
        <v>0</v>
      </c>
      <c r="AC82" s="58">
        <v>3.8300000000000001E-2</v>
      </c>
      <c r="AD82" s="58">
        <v>0.21579999999999999</v>
      </c>
      <c r="AE82" s="59">
        <v>1</v>
      </c>
      <c r="AF82" s="58">
        <v>6.6000000000000003E-2</v>
      </c>
      <c r="AG82" s="58">
        <v>0.127</v>
      </c>
      <c r="AH82" s="72"/>
      <c r="AI82" s="58">
        <v>0.50680000000000003</v>
      </c>
      <c r="AJ82" s="58">
        <v>0.3836</v>
      </c>
      <c r="AK82" s="58">
        <v>0.97826086956521696</v>
      </c>
      <c r="AL82" s="58">
        <v>0.93617021276595702</v>
      </c>
      <c r="AM82" s="58">
        <v>0.88082901554404103</v>
      </c>
      <c r="AN82" s="58">
        <v>0.98351648351648302</v>
      </c>
      <c r="AO82" s="58">
        <v>0.95744680851063801</v>
      </c>
      <c r="AP82" s="58">
        <v>0.85306122448979604</v>
      </c>
      <c r="AQ82" s="58">
        <v>0.104294478527607</v>
      </c>
      <c r="AR82" s="58">
        <v>3.7037037037037E-2</v>
      </c>
      <c r="AS82" s="58">
        <v>0.31818181818181801</v>
      </c>
      <c r="AT82" s="58">
        <v>7.9268292682926803E-2</v>
      </c>
      <c r="AU82" s="58">
        <v>1.20481927710843E-2</v>
      </c>
      <c r="AV82" s="58">
        <v>9.3264248704663197E-2</v>
      </c>
      <c r="AW82" s="58">
        <v>0.11764705882352899</v>
      </c>
      <c r="AX82" s="58">
        <v>0.57142857142857095</v>
      </c>
      <c r="AY82" s="58">
        <v>0.5</v>
      </c>
      <c r="AZ82" s="58">
        <v>6.6666666666666693E-2</v>
      </c>
      <c r="BA82" s="58">
        <v>0.14285714285714299</v>
      </c>
      <c r="BB82" s="58">
        <v>0.25</v>
      </c>
      <c r="BC82" s="58">
        <v>0.197610283377155</v>
      </c>
      <c r="BD82" s="58">
        <v>0.296901256973852</v>
      </c>
      <c r="BE82" s="58">
        <v>0.42441077441077402</v>
      </c>
      <c r="BF82" s="58">
        <v>0.15047431932851299</v>
      </c>
      <c r="BG82" s="58">
        <v>0.120863199633979</v>
      </c>
      <c r="BH82" s="58">
        <v>0.177369148608197</v>
      </c>
      <c r="BI82" s="58" t="s">
        <v>2</v>
      </c>
      <c r="BJ82" s="58" t="s">
        <v>2</v>
      </c>
      <c r="BK82" s="58">
        <v>0.45879999999999999</v>
      </c>
      <c r="BL82" s="58">
        <v>0.1135</v>
      </c>
      <c r="BM82" s="58">
        <v>1.5299999999999999E-2</v>
      </c>
      <c r="BN82" s="58">
        <v>0</v>
      </c>
      <c r="BO82" s="58">
        <v>0.85709999999999997</v>
      </c>
      <c r="BP82" s="58" t="s">
        <v>23</v>
      </c>
      <c r="BQ82" s="58">
        <v>0</v>
      </c>
      <c r="BR82" s="58">
        <v>0.88639999999999997</v>
      </c>
      <c r="BS82" s="58">
        <v>0</v>
      </c>
      <c r="BT82" s="58">
        <v>0</v>
      </c>
      <c r="BU82" s="58">
        <v>0</v>
      </c>
      <c r="BV82" s="58">
        <v>0.125</v>
      </c>
      <c r="BW82" s="58">
        <v>0.8246</v>
      </c>
      <c r="BX82" s="58">
        <v>0.4</v>
      </c>
      <c r="BY82" s="58">
        <v>0.8448</v>
      </c>
      <c r="BZ82" s="58">
        <v>0.23330000000000001</v>
      </c>
      <c r="CA82" s="58">
        <v>0.88239999999999996</v>
      </c>
      <c r="CB82" s="58">
        <v>0.48330000000000001</v>
      </c>
      <c r="CC82" s="58">
        <v>0.93330000000000002</v>
      </c>
      <c r="CD82" s="85" t="s">
        <v>2</v>
      </c>
      <c r="CE82" s="85" t="s">
        <v>2</v>
      </c>
      <c r="CF82" s="58">
        <v>1</v>
      </c>
      <c r="CG82" s="58" t="s">
        <v>23</v>
      </c>
      <c r="CH82" s="58">
        <v>1</v>
      </c>
      <c r="CI82" s="58">
        <v>0.26469999999999999</v>
      </c>
      <c r="CJ82" s="58">
        <v>0.64710000000000001</v>
      </c>
      <c r="CK82" s="58">
        <v>0.67649999999999999</v>
      </c>
      <c r="CL82" s="60">
        <v>26</v>
      </c>
      <c r="CM82" s="61">
        <v>42</v>
      </c>
      <c r="CN82" s="4"/>
    </row>
    <row r="83" spans="1:92" x14ac:dyDescent="0.25">
      <c r="A83" s="1" t="s">
        <v>94</v>
      </c>
      <c r="B83" s="2" t="s">
        <v>224</v>
      </c>
      <c r="C83" s="2" t="s">
        <v>286</v>
      </c>
      <c r="D83" s="2" t="s">
        <v>153</v>
      </c>
      <c r="E83" s="3">
        <v>29379</v>
      </c>
      <c r="F83" s="59">
        <v>3</v>
      </c>
      <c r="G83" s="59">
        <v>3</v>
      </c>
      <c r="H83" s="59">
        <v>3</v>
      </c>
      <c r="I83" s="59">
        <v>3</v>
      </c>
      <c r="J83" s="59">
        <v>2</v>
      </c>
      <c r="K83" s="59">
        <v>3</v>
      </c>
      <c r="L83" s="59">
        <v>3</v>
      </c>
      <c r="M83" s="59">
        <v>1</v>
      </c>
      <c r="N83" s="58">
        <v>0.29270000000000002</v>
      </c>
      <c r="O83" s="58">
        <v>0.36670000000000003</v>
      </c>
      <c r="P83" s="59">
        <v>1</v>
      </c>
      <c r="Q83" s="58">
        <v>4.1700000000000001E-2</v>
      </c>
      <c r="R83" s="58">
        <v>0.1066</v>
      </c>
      <c r="S83" s="59">
        <v>1</v>
      </c>
      <c r="T83" s="58">
        <v>0.05</v>
      </c>
      <c r="U83" s="58">
        <v>9.8400000000000001E-2</v>
      </c>
      <c r="V83" s="59">
        <v>3</v>
      </c>
      <c r="W83" s="58">
        <v>0.13420000000000001</v>
      </c>
      <c r="X83" s="58">
        <v>0.13950000000000001</v>
      </c>
      <c r="Y83" s="59">
        <v>0</v>
      </c>
      <c r="Z83" s="58">
        <v>0.52629999999999999</v>
      </c>
      <c r="AA83" s="58">
        <v>0.57450000000000001</v>
      </c>
      <c r="AB83" s="59">
        <v>0</v>
      </c>
      <c r="AC83" s="58">
        <v>0.189</v>
      </c>
      <c r="AD83" s="58">
        <v>0.26069999999999999</v>
      </c>
      <c r="AE83" s="59">
        <v>1</v>
      </c>
      <c r="AF83" s="58">
        <v>0.17399999999999999</v>
      </c>
      <c r="AG83" s="58">
        <v>0.22500000000000001</v>
      </c>
      <c r="AH83" s="72"/>
      <c r="AI83" s="58">
        <v>0.29270000000000002</v>
      </c>
      <c r="AJ83" s="58">
        <v>0.65849999999999997</v>
      </c>
      <c r="AK83" s="58">
        <v>0.98750000000000004</v>
      </c>
      <c r="AL83" s="58">
        <v>0.98214285714285698</v>
      </c>
      <c r="AM83" s="58">
        <v>0.88235294117647101</v>
      </c>
      <c r="AN83" s="58">
        <v>0.98750000000000004</v>
      </c>
      <c r="AO83" s="58">
        <v>0.98214285714285698</v>
      </c>
      <c r="AP83" s="58">
        <v>0.97872340425531901</v>
      </c>
      <c r="AQ83" s="58">
        <v>0.135135135135135</v>
      </c>
      <c r="AR83" s="58">
        <v>6.25E-2</v>
      </c>
      <c r="AS83" s="58">
        <v>0.53333333333333299</v>
      </c>
      <c r="AT83" s="58">
        <v>0.108108108108108</v>
      </c>
      <c r="AU83" s="58">
        <v>8.3333333333333301E-2</v>
      </c>
      <c r="AV83" s="58">
        <v>0.214285714285714</v>
      </c>
      <c r="AW83" s="58">
        <v>0.8</v>
      </c>
      <c r="AX83" s="58">
        <v>0.42857142857142899</v>
      </c>
      <c r="AY83" s="58" t="s">
        <v>23</v>
      </c>
      <c r="AZ83" s="58">
        <v>0.6</v>
      </c>
      <c r="BA83" s="58">
        <v>0.14285714285714299</v>
      </c>
      <c r="BB83" s="58">
        <v>0.25</v>
      </c>
      <c r="BC83" s="58">
        <v>0.20793055829552201</v>
      </c>
      <c r="BD83" s="58">
        <v>0.241386925795053</v>
      </c>
      <c r="BE83" s="58">
        <v>0.32860696517412902</v>
      </c>
      <c r="BF83" s="58">
        <v>0.20941014006707401</v>
      </c>
      <c r="BG83" s="58">
        <v>6.5076560659599506E-2</v>
      </c>
      <c r="BH83" s="58">
        <v>0.10664451827242501</v>
      </c>
      <c r="BI83" s="58" t="s">
        <v>152</v>
      </c>
      <c r="BJ83" s="58" t="s">
        <v>2</v>
      </c>
      <c r="BK83" s="58">
        <v>0.79720000000000002</v>
      </c>
      <c r="BL83" s="58">
        <v>0.13950000000000001</v>
      </c>
      <c r="BM83" s="58">
        <v>1.1599999999999999E-2</v>
      </c>
      <c r="BN83" s="58">
        <v>0</v>
      </c>
      <c r="BO83" s="58">
        <v>0.75</v>
      </c>
      <c r="BP83" s="58">
        <v>0.66669999999999996</v>
      </c>
      <c r="BQ83" s="58">
        <v>0.5</v>
      </c>
      <c r="BR83" s="58">
        <v>0.5</v>
      </c>
      <c r="BS83" s="58">
        <v>0</v>
      </c>
      <c r="BT83" s="58">
        <v>0</v>
      </c>
      <c r="BU83" s="58">
        <v>0</v>
      </c>
      <c r="BV83" s="58" t="s">
        <v>23</v>
      </c>
      <c r="BW83" s="58">
        <v>0.92310000000000003</v>
      </c>
      <c r="BX83" s="58">
        <v>0.64059999999999995</v>
      </c>
      <c r="BY83" s="58">
        <v>0.87270000000000003</v>
      </c>
      <c r="BZ83" s="58">
        <v>0.59379999999999999</v>
      </c>
      <c r="CA83" s="58">
        <v>0.97919999999999996</v>
      </c>
      <c r="CB83" s="58">
        <v>0.75</v>
      </c>
      <c r="CC83" s="58">
        <v>1</v>
      </c>
      <c r="CD83" s="85" t="s">
        <v>2</v>
      </c>
      <c r="CE83" s="85" t="s">
        <v>2</v>
      </c>
      <c r="CF83" s="58">
        <v>0.98619999999999997</v>
      </c>
      <c r="CG83" s="58">
        <v>1</v>
      </c>
      <c r="CH83" s="58">
        <v>1</v>
      </c>
      <c r="CI83" s="58">
        <v>0.1111</v>
      </c>
      <c r="CJ83" s="58">
        <v>0.77780000000000005</v>
      </c>
      <c r="CK83" s="58">
        <v>0.77780000000000005</v>
      </c>
      <c r="CL83" s="60">
        <v>27</v>
      </c>
      <c r="CM83" s="61">
        <v>42</v>
      </c>
      <c r="CN83" s="4"/>
    </row>
    <row r="84" spans="1:92" x14ac:dyDescent="0.25">
      <c r="A84" s="1" t="s">
        <v>95</v>
      </c>
      <c r="B84" s="2" t="s">
        <v>225</v>
      </c>
      <c r="C84" s="2" t="s">
        <v>287</v>
      </c>
      <c r="D84" s="2" t="s">
        <v>153</v>
      </c>
      <c r="E84" s="3">
        <v>29556</v>
      </c>
      <c r="F84" s="59">
        <v>3</v>
      </c>
      <c r="G84" s="59">
        <v>3</v>
      </c>
      <c r="H84" s="59">
        <v>3</v>
      </c>
      <c r="I84" s="59">
        <v>3</v>
      </c>
      <c r="J84" s="59">
        <v>3</v>
      </c>
      <c r="K84" s="59">
        <v>2</v>
      </c>
      <c r="L84" s="59">
        <v>3</v>
      </c>
      <c r="M84" s="59">
        <v>3</v>
      </c>
      <c r="N84" s="58">
        <v>0</v>
      </c>
      <c r="O84" s="58">
        <v>0.86670000000000003</v>
      </c>
      <c r="P84" s="59">
        <v>1</v>
      </c>
      <c r="Q84" s="58">
        <v>3.6999999999999998E-2</v>
      </c>
      <c r="R84" s="58">
        <v>9.4600000000000004E-2</v>
      </c>
      <c r="S84" s="59">
        <v>0</v>
      </c>
      <c r="T84" s="58">
        <v>1.6400000000000001E-2</v>
      </c>
      <c r="U84" s="58">
        <v>1.35E-2</v>
      </c>
      <c r="V84" s="59">
        <v>3</v>
      </c>
      <c r="W84" s="58">
        <v>0.18290000000000001</v>
      </c>
      <c r="X84" s="58">
        <v>0.10299999999999999</v>
      </c>
      <c r="Y84" s="59">
        <v>3</v>
      </c>
      <c r="Z84" s="58">
        <v>0</v>
      </c>
      <c r="AA84" s="58">
        <v>0</v>
      </c>
      <c r="AB84" s="59">
        <v>2</v>
      </c>
      <c r="AC84" s="58">
        <v>9.2299999999999993E-2</v>
      </c>
      <c r="AD84" s="58">
        <v>0.1205</v>
      </c>
      <c r="AE84" s="59">
        <v>1</v>
      </c>
      <c r="AF84" s="58">
        <v>5.7000000000000002E-2</v>
      </c>
      <c r="AG84" s="58">
        <v>0.125</v>
      </c>
      <c r="AH84" s="72"/>
      <c r="AI84" s="58">
        <v>0</v>
      </c>
      <c r="AJ84" s="58">
        <v>0.25</v>
      </c>
      <c r="AK84" s="58">
        <v>1</v>
      </c>
      <c r="AL84" s="58">
        <v>0.98076923076923095</v>
      </c>
      <c r="AM84" s="58">
        <v>0.87878787878787901</v>
      </c>
      <c r="AN84" s="58">
        <v>1</v>
      </c>
      <c r="AO84" s="58">
        <v>0.98076923076923095</v>
      </c>
      <c r="AP84" s="58">
        <v>0.85365853658536595</v>
      </c>
      <c r="AQ84" s="58">
        <v>3.7037037037037E-2</v>
      </c>
      <c r="AR84" s="58">
        <v>0.12765957446808501</v>
      </c>
      <c r="AS84" s="58">
        <v>0.52631578947368396</v>
      </c>
      <c r="AT84" s="58">
        <v>3.7037037037037E-2</v>
      </c>
      <c r="AU84" s="58">
        <v>0</v>
      </c>
      <c r="AV84" s="58">
        <v>0.16129032258064499</v>
      </c>
      <c r="AW84" s="58">
        <v>0.42857142857142899</v>
      </c>
      <c r="AX84" s="58">
        <v>0.5</v>
      </c>
      <c r="AY84" s="58">
        <v>0.1</v>
      </c>
      <c r="AZ84" s="58">
        <v>0.28571428571428598</v>
      </c>
      <c r="BA84" s="58">
        <v>0.75</v>
      </c>
      <c r="BB84" s="58">
        <v>0.5</v>
      </c>
      <c r="BC84" s="58">
        <v>0.23882503192848001</v>
      </c>
      <c r="BD84" s="58">
        <v>0.18791419602371801</v>
      </c>
      <c r="BE84" s="58">
        <v>0.35789473684210499</v>
      </c>
      <c r="BF84" s="58">
        <v>0.12552453931764301</v>
      </c>
      <c r="BG84" s="58">
        <v>8.5020242914979796E-2</v>
      </c>
      <c r="BH84" s="58">
        <v>0.206709677419355</v>
      </c>
      <c r="BI84" s="58" t="s">
        <v>152</v>
      </c>
      <c r="BJ84" s="58" t="s">
        <v>152</v>
      </c>
      <c r="BK84" s="58">
        <v>0.57679999999999998</v>
      </c>
      <c r="BL84" s="58">
        <v>0.10299999999999999</v>
      </c>
      <c r="BM84" s="58">
        <v>5.2400000000000002E-2</v>
      </c>
      <c r="BN84" s="58">
        <v>0.85709999999999997</v>
      </c>
      <c r="BO84" s="58" t="s">
        <v>23</v>
      </c>
      <c r="BP84" s="58">
        <v>1</v>
      </c>
      <c r="BQ84" s="58">
        <v>1</v>
      </c>
      <c r="BR84" s="58">
        <v>0</v>
      </c>
      <c r="BS84" s="58">
        <v>0</v>
      </c>
      <c r="BT84" s="58" t="s">
        <v>23</v>
      </c>
      <c r="BU84" s="58">
        <v>0</v>
      </c>
      <c r="BV84" s="58" t="s">
        <v>23</v>
      </c>
      <c r="BW84" s="58">
        <v>0.93330000000000002</v>
      </c>
      <c r="BX84" s="58">
        <v>0.58819999999999995</v>
      </c>
      <c r="BY84" s="58">
        <v>1</v>
      </c>
      <c r="BZ84" s="58">
        <v>0.52939999999999998</v>
      </c>
      <c r="CA84" s="58">
        <v>1</v>
      </c>
      <c r="CB84" s="58">
        <v>0.82350000000000001</v>
      </c>
      <c r="CC84" s="58">
        <v>1</v>
      </c>
      <c r="CD84" s="85" t="s">
        <v>2</v>
      </c>
      <c r="CE84" s="85" t="s">
        <v>2</v>
      </c>
      <c r="CF84" s="58">
        <v>1</v>
      </c>
      <c r="CG84" s="58">
        <v>1</v>
      </c>
      <c r="CH84" s="58">
        <v>1</v>
      </c>
      <c r="CI84" s="58">
        <v>0.4</v>
      </c>
      <c r="CJ84" s="58">
        <v>0.4</v>
      </c>
      <c r="CK84" s="58">
        <v>0.4</v>
      </c>
      <c r="CL84" s="60">
        <v>33</v>
      </c>
      <c r="CM84" s="61">
        <v>42</v>
      </c>
      <c r="CN84" s="4"/>
    </row>
    <row r="85" spans="1:92" x14ac:dyDescent="0.25">
      <c r="A85" s="1" t="s">
        <v>96</v>
      </c>
      <c r="B85" s="2" t="s">
        <v>226</v>
      </c>
      <c r="C85" s="2" t="s">
        <v>288</v>
      </c>
      <c r="D85" s="2" t="s">
        <v>153</v>
      </c>
      <c r="E85" s="3">
        <v>29745</v>
      </c>
      <c r="F85" s="59">
        <v>3</v>
      </c>
      <c r="G85" s="59">
        <v>3</v>
      </c>
      <c r="H85" s="59">
        <v>3</v>
      </c>
      <c r="I85" s="59">
        <v>3</v>
      </c>
      <c r="J85" s="59">
        <v>3</v>
      </c>
      <c r="K85" s="59">
        <v>3</v>
      </c>
      <c r="L85" s="59">
        <v>3</v>
      </c>
      <c r="M85" s="59">
        <v>2</v>
      </c>
      <c r="N85" s="58">
        <v>0.54169999999999996</v>
      </c>
      <c r="O85" s="58">
        <v>0.52829999999999999</v>
      </c>
      <c r="P85" s="59">
        <v>0</v>
      </c>
      <c r="Q85" s="58">
        <v>0.11799999999999999</v>
      </c>
      <c r="R85" s="58">
        <v>9.4200000000000006E-2</v>
      </c>
      <c r="S85" s="59">
        <v>0</v>
      </c>
      <c r="T85" s="58">
        <v>9.2600000000000002E-2</v>
      </c>
      <c r="U85" s="58">
        <v>7.8100000000000003E-2</v>
      </c>
      <c r="V85" s="59">
        <v>3</v>
      </c>
      <c r="W85" s="58">
        <v>0.13800000000000001</v>
      </c>
      <c r="X85" s="58">
        <v>0.12820000000000001</v>
      </c>
      <c r="Y85" s="59">
        <v>1</v>
      </c>
      <c r="Z85" s="58">
        <v>0.51349999999999996</v>
      </c>
      <c r="AA85" s="58">
        <v>0.4773</v>
      </c>
      <c r="AB85" s="59">
        <v>0</v>
      </c>
      <c r="AC85" s="58">
        <v>6.1600000000000002E-2</v>
      </c>
      <c r="AD85" s="58">
        <v>0.16070000000000001</v>
      </c>
      <c r="AE85" s="59">
        <v>1</v>
      </c>
      <c r="AF85" s="58">
        <v>0.16400000000000001</v>
      </c>
      <c r="AG85" s="58">
        <v>0.25900000000000001</v>
      </c>
      <c r="AH85" s="72"/>
      <c r="AI85" s="58">
        <v>0.54169999999999996</v>
      </c>
      <c r="AJ85" s="58">
        <v>0.39579999999999999</v>
      </c>
      <c r="AK85" s="58">
        <v>1</v>
      </c>
      <c r="AL85" s="58">
        <v>0.97916666666666696</v>
      </c>
      <c r="AM85" s="58">
        <v>0.98571428571428599</v>
      </c>
      <c r="AN85" s="58">
        <v>1</v>
      </c>
      <c r="AO85" s="58">
        <v>0.98958333333333304</v>
      </c>
      <c r="AP85" s="58">
        <v>1</v>
      </c>
      <c r="AQ85" s="58">
        <v>6.8627450980392204E-2</v>
      </c>
      <c r="AR85" s="58">
        <v>0.123595505617978</v>
      </c>
      <c r="AS85" s="58">
        <v>0.43076923076923102</v>
      </c>
      <c r="AT85" s="58">
        <v>0.10784313725490199</v>
      </c>
      <c r="AU85" s="58">
        <v>4.4444444444444398E-2</v>
      </c>
      <c r="AV85" s="58">
        <v>8.1632653061224497E-2</v>
      </c>
      <c r="AW85" s="58">
        <v>0</v>
      </c>
      <c r="AX85" s="58">
        <v>0.4</v>
      </c>
      <c r="AY85" s="58">
        <v>0.25</v>
      </c>
      <c r="AZ85" s="58">
        <v>0</v>
      </c>
      <c r="BA85" s="58">
        <v>0.4</v>
      </c>
      <c r="BB85" s="58">
        <v>0</v>
      </c>
      <c r="BC85" s="58">
        <v>0.35810776752860501</v>
      </c>
      <c r="BD85" s="58">
        <v>0.30834166715689199</v>
      </c>
      <c r="BE85" s="58">
        <v>0.34971857410881801</v>
      </c>
      <c r="BF85" s="58">
        <v>0.25462472906900502</v>
      </c>
      <c r="BG85" s="58">
        <v>0.218576388888889</v>
      </c>
      <c r="BH85" s="58">
        <v>0.26503401360544199</v>
      </c>
      <c r="BI85" s="58" t="s">
        <v>2</v>
      </c>
      <c r="BJ85" s="58" t="s">
        <v>2</v>
      </c>
      <c r="BK85" s="58">
        <v>0.64390000000000003</v>
      </c>
      <c r="BL85" s="58">
        <v>0.12820000000000001</v>
      </c>
      <c r="BM85" s="58">
        <v>1.12E-2</v>
      </c>
      <c r="BN85" s="58">
        <v>0</v>
      </c>
      <c r="BO85" s="58">
        <v>0.63639999999999997</v>
      </c>
      <c r="BP85" s="58">
        <v>0.33329999999999999</v>
      </c>
      <c r="BQ85" s="58">
        <v>0.41670000000000001</v>
      </c>
      <c r="BR85" s="58">
        <v>0.45829999999999999</v>
      </c>
      <c r="BS85" s="58">
        <v>0</v>
      </c>
      <c r="BT85" s="58">
        <v>0</v>
      </c>
      <c r="BU85" s="58">
        <v>0</v>
      </c>
      <c r="BV85" s="58">
        <v>0.1111</v>
      </c>
      <c r="BW85" s="58">
        <v>0.93330000000000002</v>
      </c>
      <c r="BX85" s="58">
        <v>0.46429999999999999</v>
      </c>
      <c r="BY85" s="58">
        <v>0.91669999999999996</v>
      </c>
      <c r="BZ85" s="58">
        <v>0.53569999999999995</v>
      </c>
      <c r="CA85" s="58">
        <v>0.94589999999999996</v>
      </c>
      <c r="CB85" s="58">
        <v>0.66069999999999995</v>
      </c>
      <c r="CC85" s="58">
        <v>1</v>
      </c>
      <c r="CD85" s="85" t="s">
        <v>2</v>
      </c>
      <c r="CE85" s="85" t="s">
        <v>2</v>
      </c>
      <c r="CF85" s="58">
        <v>1</v>
      </c>
      <c r="CG85" s="58">
        <v>1</v>
      </c>
      <c r="CH85" s="58">
        <v>1</v>
      </c>
      <c r="CI85" s="58">
        <v>0.16669999999999999</v>
      </c>
      <c r="CJ85" s="58">
        <v>0.66669999999999996</v>
      </c>
      <c r="CK85" s="58">
        <v>0.66669999999999996</v>
      </c>
      <c r="CL85" s="60">
        <v>28</v>
      </c>
      <c r="CM85" s="61">
        <v>42</v>
      </c>
      <c r="CN85" s="4"/>
    </row>
    <row r="86" spans="1:92" x14ac:dyDescent="0.25">
      <c r="A86" s="1" t="s">
        <v>97</v>
      </c>
      <c r="B86" s="2" t="s">
        <v>227</v>
      </c>
      <c r="C86" s="2" t="s">
        <v>289</v>
      </c>
      <c r="D86" s="2" t="s">
        <v>153</v>
      </c>
      <c r="E86" s="3">
        <v>29710</v>
      </c>
      <c r="F86" s="59">
        <v>3</v>
      </c>
      <c r="G86" s="59">
        <v>3</v>
      </c>
      <c r="H86" s="59">
        <v>3</v>
      </c>
      <c r="I86" s="59">
        <v>3</v>
      </c>
      <c r="J86" s="59">
        <v>2</v>
      </c>
      <c r="K86" s="59">
        <v>3</v>
      </c>
      <c r="L86" s="59">
        <v>3</v>
      </c>
      <c r="M86" s="59">
        <v>2</v>
      </c>
      <c r="N86" s="58">
        <v>0.60980000000000001</v>
      </c>
      <c r="O86" s="58">
        <v>0.56100000000000005</v>
      </c>
      <c r="P86" s="59">
        <v>3</v>
      </c>
      <c r="Q86" s="58">
        <v>0.13639999999999999</v>
      </c>
      <c r="R86" s="58">
        <v>0.16969999999999999</v>
      </c>
      <c r="S86" s="59">
        <v>3</v>
      </c>
      <c r="T86" s="58">
        <v>0.1527</v>
      </c>
      <c r="U86" s="58">
        <v>0.19389999999999999</v>
      </c>
      <c r="V86" s="59">
        <v>3</v>
      </c>
      <c r="W86" s="58">
        <v>0.11269999999999999</v>
      </c>
      <c r="X86" s="58">
        <v>0.12770000000000001</v>
      </c>
      <c r="Y86" s="59">
        <v>3</v>
      </c>
      <c r="Z86" s="58">
        <v>0.1081</v>
      </c>
      <c r="AA86" s="58">
        <v>0.1061</v>
      </c>
      <c r="AB86" s="59">
        <v>3</v>
      </c>
      <c r="AC86" s="58">
        <v>2.0299999999999999E-2</v>
      </c>
      <c r="AD86" s="58">
        <v>7.6200000000000004E-2</v>
      </c>
      <c r="AE86" s="59">
        <v>3</v>
      </c>
      <c r="AF86" s="58">
        <v>0.36399999999999999</v>
      </c>
      <c r="AG86" s="58">
        <v>0.435</v>
      </c>
      <c r="AH86" s="72"/>
      <c r="AI86" s="58">
        <v>0.60980000000000001</v>
      </c>
      <c r="AJ86" s="58">
        <v>0.31709999999999999</v>
      </c>
      <c r="AK86" s="58">
        <v>0.99082568807339499</v>
      </c>
      <c r="AL86" s="58">
        <v>0.95774647887323905</v>
      </c>
      <c r="AM86" s="58">
        <v>0.98245614035087703</v>
      </c>
      <c r="AN86" s="58">
        <v>0.98165137614678899</v>
      </c>
      <c r="AO86" s="58">
        <v>0.95774647887323905</v>
      </c>
      <c r="AP86" s="58">
        <v>0.94642857142857095</v>
      </c>
      <c r="AQ86" s="58">
        <v>0.25961538461538503</v>
      </c>
      <c r="AR86" s="58">
        <v>1.63934426229508E-2</v>
      </c>
      <c r="AS86" s="58">
        <v>0.59615384615384603</v>
      </c>
      <c r="AT86" s="58">
        <v>0.25961538461538503</v>
      </c>
      <c r="AU86" s="58">
        <v>8.1967213114754106E-2</v>
      </c>
      <c r="AV86" s="58">
        <v>0.33333333333333298</v>
      </c>
      <c r="AW86" s="58">
        <v>0.25</v>
      </c>
      <c r="AX86" s="58">
        <v>0</v>
      </c>
      <c r="AY86" s="58">
        <v>0.25</v>
      </c>
      <c r="AZ86" s="58">
        <v>0.33333333333333298</v>
      </c>
      <c r="BA86" s="58">
        <v>0.42857142857142899</v>
      </c>
      <c r="BB86" s="58">
        <v>0.2</v>
      </c>
      <c r="BC86" s="58">
        <v>0.39561337355455001</v>
      </c>
      <c r="BD86" s="58">
        <v>0.56693989071038298</v>
      </c>
      <c r="BE86" s="58">
        <v>0.35121457489878499</v>
      </c>
      <c r="BF86" s="58">
        <v>0.37659994980549599</v>
      </c>
      <c r="BG86" s="58">
        <v>0.41733930560923999</v>
      </c>
      <c r="BH86" s="58">
        <v>0.455696202531646</v>
      </c>
      <c r="BI86" s="58" t="s">
        <v>2</v>
      </c>
      <c r="BJ86" s="58" t="s">
        <v>2</v>
      </c>
      <c r="BK86" s="58">
        <v>0.74460000000000004</v>
      </c>
      <c r="BL86" s="58">
        <v>0.12770000000000001</v>
      </c>
      <c r="BM86" s="58">
        <v>3.0999999999999999E-3</v>
      </c>
      <c r="BN86" s="58">
        <v>0.4138</v>
      </c>
      <c r="BO86" s="58">
        <v>0.2069</v>
      </c>
      <c r="BP86" s="58">
        <v>0.66669999999999996</v>
      </c>
      <c r="BQ86" s="58">
        <v>0.85709999999999997</v>
      </c>
      <c r="BR86" s="58">
        <v>3.5700000000000003E-2</v>
      </c>
      <c r="BS86" s="58">
        <v>0</v>
      </c>
      <c r="BT86" s="58">
        <v>0</v>
      </c>
      <c r="BU86" s="58">
        <v>0</v>
      </c>
      <c r="BV86" s="58" t="s">
        <v>23</v>
      </c>
      <c r="BW86" s="58">
        <v>0.91180000000000005</v>
      </c>
      <c r="BX86" s="58">
        <v>0.64</v>
      </c>
      <c r="BY86" s="58">
        <v>0.90139999999999998</v>
      </c>
      <c r="BZ86" s="58">
        <v>0.6</v>
      </c>
      <c r="CA86" s="58">
        <v>0.92059999999999997</v>
      </c>
      <c r="CB86" s="58">
        <v>0.74670000000000003</v>
      </c>
      <c r="CC86" s="58">
        <v>1</v>
      </c>
      <c r="CD86" s="85" t="s">
        <v>2</v>
      </c>
      <c r="CE86" s="85" t="s">
        <v>2</v>
      </c>
      <c r="CF86" s="58">
        <v>0.99619999999999997</v>
      </c>
      <c r="CG86" s="58">
        <v>1</v>
      </c>
      <c r="CH86" s="58">
        <v>1</v>
      </c>
      <c r="CI86" s="58">
        <v>0.55559999999999998</v>
      </c>
      <c r="CJ86" s="58">
        <v>0.88890000000000002</v>
      </c>
      <c r="CK86" s="58">
        <v>0.88890000000000002</v>
      </c>
      <c r="CL86" s="60">
        <v>40</v>
      </c>
      <c r="CM86" s="61">
        <v>42</v>
      </c>
      <c r="CN86" s="4"/>
    </row>
    <row r="87" spans="1:92" x14ac:dyDescent="0.25">
      <c r="A87" s="1" t="s">
        <v>98</v>
      </c>
      <c r="B87" s="2" t="s">
        <v>228</v>
      </c>
      <c r="C87" s="2" t="s">
        <v>290</v>
      </c>
      <c r="D87" s="2" t="s">
        <v>153</v>
      </c>
      <c r="E87" s="1">
        <v>29731</v>
      </c>
      <c r="F87" s="59">
        <v>3</v>
      </c>
      <c r="G87" s="59">
        <v>3</v>
      </c>
      <c r="H87" s="59">
        <v>3</v>
      </c>
      <c r="I87" s="59">
        <v>3</v>
      </c>
      <c r="J87" s="59">
        <v>2</v>
      </c>
      <c r="K87" s="59">
        <v>3</v>
      </c>
      <c r="L87" s="59">
        <v>3</v>
      </c>
      <c r="M87" s="59">
        <v>2</v>
      </c>
      <c r="N87" s="58">
        <v>0.49440000000000001</v>
      </c>
      <c r="O87" s="58">
        <v>0.53649999999999998</v>
      </c>
      <c r="P87" s="59">
        <v>1</v>
      </c>
      <c r="Q87" s="58">
        <v>0.1135</v>
      </c>
      <c r="R87" s="58">
        <v>0.1139</v>
      </c>
      <c r="S87" s="59">
        <v>0</v>
      </c>
      <c r="T87" s="58">
        <v>0.10539999999999999</v>
      </c>
      <c r="U87" s="58">
        <v>0.10489999999999999</v>
      </c>
      <c r="V87" s="59">
        <v>3</v>
      </c>
      <c r="W87" s="58">
        <v>0.10970000000000001</v>
      </c>
      <c r="X87" s="58">
        <v>0.12640000000000001</v>
      </c>
      <c r="Y87" s="59">
        <v>3</v>
      </c>
      <c r="Z87" s="58">
        <v>3.8199999999999998E-2</v>
      </c>
      <c r="AA87" s="58">
        <v>7.4000000000000003E-3</v>
      </c>
      <c r="AB87" s="59">
        <v>0</v>
      </c>
      <c r="AC87" s="58">
        <v>6.3799999999999996E-2</v>
      </c>
      <c r="AD87" s="58">
        <v>0.16930000000000001</v>
      </c>
      <c r="AE87" s="59">
        <v>1</v>
      </c>
      <c r="AF87" s="58">
        <v>0.13500000000000001</v>
      </c>
      <c r="AG87" s="58">
        <v>0.247</v>
      </c>
      <c r="AH87" s="72"/>
      <c r="AI87" s="58">
        <v>0.49440000000000001</v>
      </c>
      <c r="AJ87" s="58">
        <v>0.48309999999999997</v>
      </c>
      <c r="AK87" s="58">
        <v>0.97916666666666696</v>
      </c>
      <c r="AL87" s="58">
        <v>1.721544990744504</v>
      </c>
      <c r="AM87" s="58">
        <v>1.943624371859296</v>
      </c>
      <c r="AN87" s="58">
        <v>1.8674879900821331</v>
      </c>
      <c r="AO87" s="58">
        <v>1.692875524854395</v>
      </c>
      <c r="AP87" s="58">
        <v>1.9066612399945728</v>
      </c>
      <c r="AQ87" s="58">
        <v>0.209302325581395</v>
      </c>
      <c r="AR87" s="58">
        <v>0.10364355166150219</v>
      </c>
      <c r="AS87" s="58">
        <v>0.89643152546378302</v>
      </c>
      <c r="AT87" s="58">
        <v>0.319083369527</v>
      </c>
      <c r="AU87" s="58">
        <v>6.8413068413068504E-2</v>
      </c>
      <c r="AV87" s="58">
        <v>0.59637389202256297</v>
      </c>
      <c r="AW87" s="58">
        <v>0.45</v>
      </c>
      <c r="AX87" s="58">
        <v>0.64743589743589802</v>
      </c>
      <c r="AY87" s="58">
        <v>1.125</v>
      </c>
      <c r="AZ87" s="58">
        <v>0.59285714285714297</v>
      </c>
      <c r="BA87" s="58">
        <v>0.70512820512820495</v>
      </c>
      <c r="BB87" s="58">
        <v>0.25</v>
      </c>
      <c r="BC87" s="58">
        <v>0.31085896474118502</v>
      </c>
      <c r="BD87" s="58">
        <v>0.65405187201928694</v>
      </c>
      <c r="BE87" s="58">
        <v>0.719324601254686</v>
      </c>
      <c r="BF87" s="58">
        <v>0.53299685080056092</v>
      </c>
      <c r="BG87" s="58">
        <v>0.37284812820884805</v>
      </c>
      <c r="BH87" s="58">
        <v>0.46923636322942502</v>
      </c>
      <c r="BI87" s="58" t="s">
        <v>2</v>
      </c>
      <c r="BJ87" s="58" t="s">
        <v>2</v>
      </c>
      <c r="BK87" s="58">
        <v>0.65459999999999996</v>
      </c>
      <c r="BL87" s="58">
        <v>0.12640000000000001</v>
      </c>
      <c r="BM87" s="58">
        <v>7.0000000000000001E-3</v>
      </c>
      <c r="BN87" s="58">
        <v>0.69769999999999999</v>
      </c>
      <c r="BO87" s="58">
        <v>2.3300000000000001E-2</v>
      </c>
      <c r="BP87" s="58">
        <v>0.52939999999999998</v>
      </c>
      <c r="BQ87" s="58">
        <v>0.81330000000000002</v>
      </c>
      <c r="BR87" s="58">
        <v>0</v>
      </c>
      <c r="BS87" s="58">
        <v>0</v>
      </c>
      <c r="BT87" s="58">
        <v>0</v>
      </c>
      <c r="BU87" s="58">
        <v>0</v>
      </c>
      <c r="BV87" s="58">
        <v>0</v>
      </c>
      <c r="BW87" s="58">
        <v>0.77180000000000004</v>
      </c>
      <c r="BX87" s="58">
        <v>0.44379999999999997</v>
      </c>
      <c r="BY87" s="58">
        <v>0.87339999999999995</v>
      </c>
      <c r="BZ87" s="58">
        <v>0.49440000000000001</v>
      </c>
      <c r="CA87" s="58">
        <v>0.77459999999999996</v>
      </c>
      <c r="CB87" s="58">
        <v>0.52810000000000001</v>
      </c>
      <c r="CC87" s="58">
        <v>1</v>
      </c>
      <c r="CD87" s="85" t="s">
        <v>2</v>
      </c>
      <c r="CE87" s="85" t="s">
        <v>2</v>
      </c>
      <c r="CF87" s="58">
        <v>0.98680000000000001</v>
      </c>
      <c r="CG87" s="58">
        <v>1</v>
      </c>
      <c r="CH87" s="58">
        <v>1</v>
      </c>
      <c r="CI87" s="58">
        <v>0.36109999999999998</v>
      </c>
      <c r="CJ87" s="58">
        <v>0.80559999999999998</v>
      </c>
      <c r="CK87" s="58">
        <v>0.86109999999999998</v>
      </c>
      <c r="CL87" s="60">
        <v>30</v>
      </c>
      <c r="CM87" s="61">
        <v>42</v>
      </c>
      <c r="CN87" s="4"/>
    </row>
    <row r="88" spans="1:92" x14ac:dyDescent="0.25">
      <c r="A88" s="1" t="s">
        <v>99</v>
      </c>
      <c r="B88" s="2" t="s">
        <v>229</v>
      </c>
      <c r="C88" s="2" t="s">
        <v>291</v>
      </c>
      <c r="D88" s="2" t="s">
        <v>153</v>
      </c>
      <c r="E88" s="1">
        <v>29715</v>
      </c>
      <c r="F88" s="59">
        <v>3</v>
      </c>
      <c r="G88" s="59">
        <v>3</v>
      </c>
      <c r="H88" s="59">
        <v>3</v>
      </c>
      <c r="I88" s="59">
        <v>3</v>
      </c>
      <c r="J88" s="59">
        <v>2</v>
      </c>
      <c r="K88" s="59">
        <v>3</v>
      </c>
      <c r="L88" s="59">
        <v>3</v>
      </c>
      <c r="M88" s="59">
        <v>3</v>
      </c>
      <c r="N88" s="58">
        <v>0.4</v>
      </c>
      <c r="O88" s="58">
        <v>0.92810000000000004</v>
      </c>
      <c r="P88" s="59">
        <v>3</v>
      </c>
      <c r="Q88" s="58">
        <v>0.19689999999999999</v>
      </c>
      <c r="R88" s="58">
        <v>0.20399999999999999</v>
      </c>
      <c r="S88" s="59">
        <v>3</v>
      </c>
      <c r="T88" s="58">
        <v>0.1908</v>
      </c>
      <c r="U88" s="58">
        <v>0.1865</v>
      </c>
      <c r="V88" s="59">
        <v>1</v>
      </c>
      <c r="W88" s="58">
        <v>0.1603</v>
      </c>
      <c r="X88" s="58">
        <v>0.14910000000000001</v>
      </c>
      <c r="Y88" s="59">
        <v>0</v>
      </c>
      <c r="Z88" s="58">
        <v>0.37930000000000003</v>
      </c>
      <c r="AA88" s="58">
        <v>0.44069999999999998</v>
      </c>
      <c r="AB88" s="59">
        <v>3</v>
      </c>
      <c r="AC88" s="58">
        <v>3.0499999999999999E-2</v>
      </c>
      <c r="AD88" s="58">
        <v>8.5199999999999998E-2</v>
      </c>
      <c r="AE88" s="59">
        <v>3</v>
      </c>
      <c r="AF88" s="58">
        <v>0.39800000000000002</v>
      </c>
      <c r="AG88" s="58">
        <v>0.34899999999999998</v>
      </c>
      <c r="AH88" s="72"/>
      <c r="AI88" s="58">
        <v>0.4</v>
      </c>
      <c r="AJ88" s="58">
        <v>0.5</v>
      </c>
      <c r="AK88" s="58">
        <v>1.9119015047879619</v>
      </c>
      <c r="AL88" s="58">
        <v>1.903535353535353</v>
      </c>
      <c r="AM88" s="58">
        <v>1.9898989898989901</v>
      </c>
      <c r="AN88" s="58">
        <v>1.9119015047879619</v>
      </c>
      <c r="AO88" s="58">
        <v>1.9257575757575749</v>
      </c>
      <c r="AP88" s="58">
        <v>1.960084033613446</v>
      </c>
      <c r="AQ88" s="58">
        <v>0.53356589806857901</v>
      </c>
      <c r="AR88" s="58">
        <v>0.24407650585212698</v>
      </c>
      <c r="AS88" s="58">
        <v>1.508052181736393</v>
      </c>
      <c r="AT88" s="58">
        <v>0.49757508721177601</v>
      </c>
      <c r="AU88" s="58">
        <v>0.2152391546162401</v>
      </c>
      <c r="AV88" s="58">
        <v>0.82655826558265499</v>
      </c>
      <c r="AW88" s="58">
        <v>0.87878787878787801</v>
      </c>
      <c r="AX88" s="58">
        <v>1.5571428571428569</v>
      </c>
      <c r="AY88" s="58">
        <v>1</v>
      </c>
      <c r="AZ88" s="58">
        <v>0.29292929292929298</v>
      </c>
      <c r="BA88" s="58">
        <v>1.357142857142857</v>
      </c>
      <c r="BB88" s="58">
        <v>0.57954545454545503</v>
      </c>
      <c r="BC88" s="58">
        <v>0.93042909040114596</v>
      </c>
      <c r="BD88" s="58">
        <v>1.126403748103151</v>
      </c>
      <c r="BE88" s="58">
        <v>0.41181234527099198</v>
      </c>
      <c r="BF88" s="58">
        <v>0.83818703507791903</v>
      </c>
      <c r="BG88" s="58">
        <v>1.01108738467996</v>
      </c>
      <c r="BH88" s="58">
        <v>0.68478624942575794</v>
      </c>
      <c r="BI88" s="58" t="s">
        <v>2</v>
      </c>
      <c r="BJ88" s="58" t="s">
        <v>2</v>
      </c>
      <c r="BK88" s="58">
        <v>0.72419999999999995</v>
      </c>
      <c r="BL88" s="58">
        <v>0.14910000000000001</v>
      </c>
      <c r="BM88" s="58">
        <v>1.04E-2</v>
      </c>
      <c r="BN88" s="58">
        <v>8.5099999999999995E-2</v>
      </c>
      <c r="BO88" s="58">
        <v>0.51060000000000005</v>
      </c>
      <c r="BP88" s="58">
        <v>0.375</v>
      </c>
      <c r="BQ88" s="58">
        <v>9.0899999999999995E-2</v>
      </c>
      <c r="BR88" s="58">
        <v>0.47270000000000001</v>
      </c>
      <c r="BS88" s="58">
        <v>0</v>
      </c>
      <c r="BT88" s="58">
        <v>0</v>
      </c>
      <c r="BU88" s="58">
        <v>0</v>
      </c>
      <c r="BV88" s="58">
        <v>0</v>
      </c>
      <c r="BW88" s="58">
        <v>0.89839999999999998</v>
      </c>
      <c r="BX88" s="58">
        <v>0.5071</v>
      </c>
      <c r="BY88" s="58">
        <v>0.91269999999999996</v>
      </c>
      <c r="BZ88" s="58">
        <v>0.53569999999999995</v>
      </c>
      <c r="CA88" s="58">
        <v>0.89170000000000005</v>
      </c>
      <c r="CB88" s="58">
        <v>0.62139999999999995</v>
      </c>
      <c r="CC88" s="58">
        <v>1</v>
      </c>
      <c r="CD88" s="85" t="s">
        <v>2</v>
      </c>
      <c r="CE88" s="85" t="s">
        <v>2</v>
      </c>
      <c r="CF88" s="58">
        <v>0.98960000000000004</v>
      </c>
      <c r="CG88" s="58">
        <v>1</v>
      </c>
      <c r="CH88" s="58">
        <v>1</v>
      </c>
      <c r="CI88" s="58">
        <v>0.2</v>
      </c>
      <c r="CJ88" s="58">
        <v>0.6</v>
      </c>
      <c r="CK88" s="58">
        <v>0.8</v>
      </c>
      <c r="CL88" s="60">
        <v>36</v>
      </c>
      <c r="CM88" s="61">
        <v>42</v>
      </c>
      <c r="CN88" s="4"/>
    </row>
  </sheetData>
  <sheetProtection algorithmName="SHA-512" hashValue="6JBqR8BuTKgz/fMdbM+GOOSBamrdzRYMSUYzkgu5bTuGdql0R88mQzUt8KvktBnrs1RSphqPIRHeoVz2IwN49Q==" saltValue="zKFvGmQT+UHEjmcAc6cX4g==" spinCount="100000" sheet="1" objects="1" scenarios="1" selectLockedCells="1" selectUnlockedCell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7"/>
  <dimension ref="A1:K25"/>
  <sheetViews>
    <sheetView showGridLines="0" showRowColHeaders="0" zoomScale="145" zoomScaleNormal="145" workbookViewId="0">
      <selection activeCell="A15" sqref="A15:D15"/>
    </sheetView>
  </sheetViews>
  <sheetFormatPr defaultRowHeight="15" x14ac:dyDescent="0.25"/>
  <cols>
    <col min="1" max="1" width="29.85546875" style="103" customWidth="1"/>
    <col min="2" max="2" width="34.7109375" style="103" customWidth="1"/>
    <col min="3" max="3" width="36.140625" style="103" customWidth="1"/>
    <col min="4" max="4" width="31.42578125" style="103" customWidth="1"/>
    <col min="5" max="5" width="9.140625" style="107"/>
    <col min="6" max="10" width="9.140625" style="103"/>
    <col min="11" max="11" width="5.7109375" style="103" customWidth="1"/>
    <col min="12" max="16384" width="9.140625" style="103"/>
  </cols>
  <sheetData>
    <row r="1" spans="1:11" ht="21" x14ac:dyDescent="0.35">
      <c r="A1" s="126" t="s">
        <v>450</v>
      </c>
      <c r="B1" s="126"/>
      <c r="C1" s="126"/>
      <c r="D1" s="126"/>
      <c r="E1" s="106"/>
      <c r="F1" s="104"/>
      <c r="G1" s="104"/>
      <c r="H1" s="104"/>
      <c r="I1" s="104"/>
      <c r="J1" s="104"/>
      <c r="K1" s="104"/>
    </row>
    <row r="2" spans="1:11" ht="75" customHeight="1" x14ac:dyDescent="0.25">
      <c r="A2" s="127" t="s">
        <v>551</v>
      </c>
      <c r="B2" s="127"/>
      <c r="C2" s="127"/>
      <c r="D2" s="127"/>
    </row>
    <row r="3" spans="1:11" ht="21" x14ac:dyDescent="0.35">
      <c r="A3" s="126" t="s">
        <v>451</v>
      </c>
      <c r="B3" s="126"/>
      <c r="C3" s="126"/>
      <c r="D3" s="126"/>
      <c r="E3" s="106"/>
      <c r="F3" s="104"/>
      <c r="G3" s="104"/>
      <c r="H3" s="104"/>
      <c r="I3" s="104"/>
      <c r="J3" s="104"/>
      <c r="K3" s="104"/>
    </row>
    <row r="4" spans="1:11" ht="249.95" customHeight="1" x14ac:dyDescent="0.25">
      <c r="A4" s="127" t="s">
        <v>602</v>
      </c>
      <c r="B4" s="127"/>
      <c r="C4" s="127"/>
      <c r="D4" s="127"/>
    </row>
    <row r="5" spans="1:11" s="105" customFormat="1" ht="18.75" x14ac:dyDescent="0.2">
      <c r="A5" s="129" t="s">
        <v>566</v>
      </c>
      <c r="B5" s="129"/>
      <c r="C5" s="129"/>
      <c r="D5" s="129"/>
      <c r="E5" s="109"/>
    </row>
    <row r="6" spans="1:11" s="105" customFormat="1" ht="45" customHeight="1" x14ac:dyDescent="0.2">
      <c r="A6" s="130" t="s">
        <v>568</v>
      </c>
      <c r="B6" s="130"/>
      <c r="C6" s="132" t="s">
        <v>564</v>
      </c>
      <c r="D6" s="132"/>
      <c r="E6" s="110"/>
    </row>
    <row r="7" spans="1:11" s="105" customFormat="1" ht="45" customHeight="1" x14ac:dyDescent="0.2">
      <c r="A7" s="130" t="s">
        <v>569</v>
      </c>
      <c r="B7" s="130"/>
      <c r="C7" s="132" t="s">
        <v>564</v>
      </c>
      <c r="D7" s="132"/>
      <c r="E7" s="110"/>
    </row>
    <row r="8" spans="1:11" s="105" customFormat="1" ht="45" customHeight="1" x14ac:dyDescent="0.2">
      <c r="A8" s="130" t="s">
        <v>570</v>
      </c>
      <c r="B8" s="130"/>
      <c r="C8" s="132" t="s">
        <v>564</v>
      </c>
      <c r="D8" s="132"/>
      <c r="E8" s="110"/>
    </row>
    <row r="9" spans="1:11" s="105" customFormat="1" ht="45" customHeight="1" x14ac:dyDescent="0.2">
      <c r="A9" s="130" t="s">
        <v>571</v>
      </c>
      <c r="B9" s="130"/>
      <c r="C9" s="132" t="s">
        <v>565</v>
      </c>
      <c r="D9" s="132"/>
      <c r="E9" s="110"/>
    </row>
    <row r="10" spans="1:11" s="105" customFormat="1" ht="45" customHeight="1" x14ac:dyDescent="0.2">
      <c r="A10" s="130" t="s">
        <v>572</v>
      </c>
      <c r="B10" s="130"/>
      <c r="C10" s="132" t="s">
        <v>564</v>
      </c>
      <c r="D10" s="132"/>
      <c r="E10" s="110"/>
    </row>
    <row r="11" spans="1:11" s="105" customFormat="1" ht="45" customHeight="1" x14ac:dyDescent="0.2">
      <c r="A11" s="130" t="s">
        <v>573</v>
      </c>
      <c r="B11" s="130"/>
      <c r="C11" s="132" t="s">
        <v>564</v>
      </c>
      <c r="D11" s="132"/>
      <c r="E11" s="110"/>
    </row>
    <row r="12" spans="1:11" s="105" customFormat="1" ht="45" customHeight="1" x14ac:dyDescent="0.2">
      <c r="A12" s="130" t="s">
        <v>574</v>
      </c>
      <c r="B12" s="130"/>
      <c r="C12" s="132" t="s">
        <v>564</v>
      </c>
      <c r="D12" s="132"/>
      <c r="E12" s="110"/>
    </row>
    <row r="13" spans="1:11" s="105" customFormat="1" ht="45" customHeight="1" x14ac:dyDescent="0.2">
      <c r="A13" s="130" t="s">
        <v>575</v>
      </c>
      <c r="B13" s="130"/>
      <c r="C13" s="132" t="s">
        <v>564</v>
      </c>
      <c r="D13" s="132"/>
      <c r="E13" s="110"/>
    </row>
    <row r="14" spans="1:11" s="105" customFormat="1" ht="45" customHeight="1" x14ac:dyDescent="0.2">
      <c r="A14" s="130" t="s">
        <v>576</v>
      </c>
      <c r="B14" s="130"/>
      <c r="C14" s="132" t="s">
        <v>564</v>
      </c>
      <c r="D14" s="132"/>
      <c r="E14" s="110"/>
    </row>
    <row r="15" spans="1:11" s="105" customFormat="1" ht="18.75" x14ac:dyDescent="0.3">
      <c r="A15" s="131" t="s">
        <v>567</v>
      </c>
      <c r="B15" s="131"/>
      <c r="C15" s="131"/>
      <c r="D15" s="131"/>
      <c r="E15" s="108"/>
    </row>
    <row r="16" spans="1:11" s="105" customFormat="1" ht="11.25" x14ac:dyDescent="0.2">
      <c r="A16" s="113" t="s">
        <v>559</v>
      </c>
      <c r="B16" s="113" t="s">
        <v>538</v>
      </c>
      <c r="C16" s="113" t="s">
        <v>539</v>
      </c>
      <c r="D16" s="113" t="s">
        <v>320</v>
      </c>
      <c r="E16" s="108"/>
    </row>
    <row r="17" spans="1:5" s="105" customFormat="1" ht="33.75" customHeight="1" x14ac:dyDescent="0.2">
      <c r="A17" s="112" t="s">
        <v>577</v>
      </c>
      <c r="B17" s="111" t="s">
        <v>540</v>
      </c>
      <c r="C17" s="111" t="s">
        <v>541</v>
      </c>
      <c r="D17" s="112" t="s">
        <v>542</v>
      </c>
      <c r="E17" s="108"/>
    </row>
    <row r="18" spans="1:5" s="105" customFormat="1" ht="33.75" customHeight="1" x14ac:dyDescent="0.2">
      <c r="A18" s="112" t="s">
        <v>578</v>
      </c>
      <c r="B18" s="111" t="s">
        <v>543</v>
      </c>
      <c r="C18" s="111" t="s">
        <v>544</v>
      </c>
      <c r="D18" s="112" t="s">
        <v>542</v>
      </c>
      <c r="E18" s="108"/>
    </row>
    <row r="19" spans="1:5" s="105" customFormat="1" ht="33.75" customHeight="1" x14ac:dyDescent="0.2">
      <c r="A19" s="112" t="s">
        <v>579</v>
      </c>
      <c r="B19" s="111" t="s">
        <v>543</v>
      </c>
      <c r="C19" s="111" t="s">
        <v>544</v>
      </c>
      <c r="D19" s="112" t="s">
        <v>542</v>
      </c>
      <c r="E19" s="108"/>
    </row>
    <row r="20" spans="1:5" s="105" customFormat="1" ht="33.75" customHeight="1" x14ac:dyDescent="0.2">
      <c r="A20" s="112" t="s">
        <v>580</v>
      </c>
      <c r="B20" s="111" t="s">
        <v>543</v>
      </c>
      <c r="C20" s="111" t="s">
        <v>544</v>
      </c>
      <c r="D20" s="112" t="s">
        <v>542</v>
      </c>
      <c r="E20" s="108"/>
    </row>
    <row r="21" spans="1:5" s="105" customFormat="1" ht="33.75" customHeight="1" x14ac:dyDescent="0.2">
      <c r="A21" s="112" t="s">
        <v>581</v>
      </c>
      <c r="B21" s="111" t="s">
        <v>543</v>
      </c>
      <c r="C21" s="111" t="s">
        <v>544</v>
      </c>
      <c r="D21" s="112" t="s">
        <v>542</v>
      </c>
      <c r="E21" s="108"/>
    </row>
    <row r="22" spans="1:5" s="105" customFormat="1" ht="45" x14ac:dyDescent="0.2">
      <c r="A22" s="112" t="s">
        <v>582</v>
      </c>
      <c r="B22" s="111" t="s">
        <v>561</v>
      </c>
      <c r="C22" s="111" t="s">
        <v>546</v>
      </c>
      <c r="D22" s="112" t="s">
        <v>542</v>
      </c>
      <c r="E22" s="108"/>
    </row>
    <row r="23" spans="1:5" s="105" customFormat="1" ht="33.75" x14ac:dyDescent="0.2">
      <c r="A23" s="112" t="s">
        <v>583</v>
      </c>
      <c r="B23" s="111" t="s">
        <v>563</v>
      </c>
      <c r="C23" s="111" t="s">
        <v>563</v>
      </c>
      <c r="D23" s="112" t="s">
        <v>542</v>
      </c>
      <c r="E23" s="108"/>
    </row>
    <row r="24" spans="1:5" s="105" customFormat="1" ht="33.75" customHeight="1" x14ac:dyDescent="0.2">
      <c r="A24" s="112" t="s">
        <v>584</v>
      </c>
      <c r="B24" s="111" t="s">
        <v>548</v>
      </c>
      <c r="C24" s="111" t="s">
        <v>549</v>
      </c>
      <c r="D24" s="112" t="s">
        <v>545</v>
      </c>
      <c r="E24" s="108"/>
    </row>
    <row r="25" spans="1:5" s="105" customFormat="1" ht="129" customHeight="1" x14ac:dyDescent="0.2">
      <c r="A25" s="112" t="s">
        <v>585</v>
      </c>
      <c r="B25" s="111" t="s">
        <v>550</v>
      </c>
      <c r="C25" s="111" t="s">
        <v>560</v>
      </c>
      <c r="D25" s="112" t="s">
        <v>542</v>
      </c>
      <c r="E25" s="108"/>
    </row>
  </sheetData>
  <sheetProtection algorithmName="SHA-512" hashValue="bQ9c1QkTDSYRpDv5kEiyKXCokixNVc1ur19KYLnzHuPzpJzw/FUV5ZCHVJ9R/MvFlrV9ABD5jhVTpvwHfJuFdA==" saltValue="sPNjecu94l70DVstW0PNrg==" spinCount="100000" sheet="1" objects="1" scenarios="1" selectLockedCells="1" selectUnlockedCells="1"/>
  <mergeCells count="24">
    <mergeCell ref="A6:B6"/>
    <mergeCell ref="C6:D6"/>
    <mergeCell ref="A1:D1"/>
    <mergeCell ref="A2:D2"/>
    <mergeCell ref="A3:D3"/>
    <mergeCell ref="A4:D4"/>
    <mergeCell ref="A5:D5"/>
    <mergeCell ref="A7:B7"/>
    <mergeCell ref="C7:D7"/>
    <mergeCell ref="A8:B8"/>
    <mergeCell ref="C8:D8"/>
    <mergeCell ref="A9:B9"/>
    <mergeCell ref="C9:D9"/>
    <mergeCell ref="A10:B10"/>
    <mergeCell ref="C10:D10"/>
    <mergeCell ref="A12:B12"/>
    <mergeCell ref="C11:D11"/>
    <mergeCell ref="A14:B14"/>
    <mergeCell ref="C12:D12"/>
    <mergeCell ref="A15:D15"/>
    <mergeCell ref="C13:D13"/>
    <mergeCell ref="C14:D14"/>
    <mergeCell ref="A13:B13"/>
    <mergeCell ref="A11:B11"/>
  </mergeCells>
  <pageMargins left="0.25" right="0.25" top="0.25" bottom="0.25" header="0" footer="0"/>
  <pageSetup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5"/>
  <dimension ref="A1:J108"/>
  <sheetViews>
    <sheetView showGridLines="0" showRowColHeaders="0" tabSelected="1" zoomScale="145" zoomScaleNormal="145" zoomScaleSheetLayoutView="160" workbookViewId="0">
      <pane ySplit="7" topLeftCell="A8" activePane="bottomLeft" state="frozen"/>
      <selection pane="bottomLeft"/>
    </sheetView>
  </sheetViews>
  <sheetFormatPr defaultColWidth="8.7109375" defaultRowHeight="11.25" x14ac:dyDescent="0.2"/>
  <cols>
    <col min="1" max="1" width="9.85546875" style="9" customWidth="1"/>
    <col min="2" max="3" width="9.42578125" style="9" customWidth="1"/>
    <col min="4" max="4" width="9.7109375" style="9" customWidth="1"/>
    <col min="5" max="5" width="9.42578125" style="9" customWidth="1"/>
    <col min="6" max="6" width="10.7109375" style="9" customWidth="1"/>
    <col min="7" max="7" width="11.7109375" style="9" customWidth="1"/>
    <col min="8" max="8" width="11.28515625" style="9" customWidth="1"/>
    <col min="9" max="9" width="11.5703125" style="9" customWidth="1"/>
    <col min="10" max="10" width="7.140625" style="9" customWidth="1"/>
    <col min="11" max="16384" width="8.7109375" style="9"/>
  </cols>
  <sheetData>
    <row r="1" spans="1:10" s="6" customFormat="1" ht="20.100000000000001" customHeight="1" x14ac:dyDescent="0.25">
      <c r="A1" s="114" t="s">
        <v>453</v>
      </c>
      <c r="B1" s="29"/>
      <c r="C1" s="29"/>
      <c r="D1" s="29"/>
      <c r="E1" s="29"/>
      <c r="F1" s="32"/>
      <c r="G1" s="29"/>
      <c r="H1" s="29"/>
      <c r="I1" s="29"/>
      <c r="J1" s="29"/>
    </row>
    <row r="2" spans="1:10" x14ac:dyDescent="0.2">
      <c r="A2" s="7"/>
      <c r="B2" s="8"/>
      <c r="C2" s="8"/>
    </row>
    <row r="3" spans="1:10" s="11" customFormat="1" ht="27.95" customHeight="1" x14ac:dyDescent="0.25">
      <c r="A3" s="125" t="s">
        <v>85</v>
      </c>
      <c r="B3" s="36"/>
      <c r="C3" s="36"/>
      <c r="D3" s="36"/>
      <c r="E3" s="36"/>
      <c r="F3" s="36"/>
      <c r="G3" s="36"/>
      <c r="H3" s="10"/>
      <c r="I3" s="10"/>
      <c r="J3" s="10"/>
    </row>
    <row r="4" spans="1:10" x14ac:dyDescent="0.2">
      <c r="A4" s="9" t="str">
        <f>VLOOKUP(A3,Data!A1:AQ88,2,FALSE)</f>
        <v>404 N. Wise Rd.</v>
      </c>
    </row>
    <row r="5" spans="1:10" x14ac:dyDescent="0.2">
      <c r="A5" s="9" t="str">
        <f>VLOOKUP(A3,Data!A1:AQ88,3,FALSE)</f>
        <v>Saluda</v>
      </c>
      <c r="C5" s="12" t="str">
        <f>VLOOKUP(A3,Data!A1:AQ88,4,FALSE)</f>
        <v>SC</v>
      </c>
      <c r="D5" s="12">
        <f>VLOOKUP(A3,Data!A1:AQ88,5,FALSE)</f>
        <v>29138</v>
      </c>
    </row>
    <row r="6" spans="1:10" x14ac:dyDescent="0.2">
      <c r="A6" s="7"/>
      <c r="B6" s="8"/>
      <c r="C6" s="8"/>
    </row>
    <row r="7" spans="1:10" s="13" customFormat="1" ht="20.100000000000001" customHeight="1" x14ac:dyDescent="0.25">
      <c r="A7" s="30" t="s">
        <v>3</v>
      </c>
      <c r="B7" s="30"/>
      <c r="C7" s="30"/>
      <c r="D7" s="30"/>
      <c r="E7" s="30"/>
      <c r="F7" s="30"/>
      <c r="G7" s="30"/>
      <c r="H7" s="30"/>
      <c r="I7" s="30"/>
      <c r="J7" s="30"/>
    </row>
    <row r="8" spans="1:10" s="14" customFormat="1" ht="20.100000000000001" customHeight="1" x14ac:dyDescent="0.25">
      <c r="A8" s="31" t="s">
        <v>492</v>
      </c>
      <c r="B8" s="31"/>
      <c r="C8" s="31"/>
      <c r="D8" s="31"/>
      <c r="E8" s="31"/>
      <c r="F8" s="31"/>
      <c r="G8" s="31"/>
      <c r="H8" s="31"/>
      <c r="I8" s="31"/>
      <c r="J8" s="31"/>
    </row>
    <row r="9" spans="1:10" ht="19.5" customHeight="1" x14ac:dyDescent="0.2">
      <c r="A9" s="68" t="s">
        <v>493</v>
      </c>
      <c r="B9" s="69"/>
      <c r="C9" s="44"/>
      <c r="D9" s="70"/>
      <c r="E9" s="71"/>
      <c r="F9" s="70"/>
      <c r="G9" s="71"/>
      <c r="H9" s="70"/>
      <c r="I9" s="71"/>
      <c r="J9" s="70"/>
    </row>
    <row r="10" spans="1:10" s="14" customFormat="1" ht="23.45" customHeight="1" x14ac:dyDescent="0.25">
      <c r="A10" s="79" t="s">
        <v>0</v>
      </c>
      <c r="B10" s="91">
        <f>VLOOKUP(A3,Data!A1:AQ88,6,FALSE)</f>
        <v>2</v>
      </c>
      <c r="C10" s="92" t="str">
        <f>IF(B10=0,"2 or more consecutive years of findings of non-compliance (current year and previous year(s))",
IF(B10=1,"Findings of non-compliance in the current year",
IF(B10=2,"No findings of non-compliance","")))</f>
        <v>No findings of non-compliance</v>
      </c>
      <c r="D10" s="20"/>
      <c r="E10" s="20"/>
      <c r="F10" s="20"/>
      <c r="G10" s="20"/>
      <c r="H10" s="20"/>
      <c r="I10" s="20"/>
      <c r="J10" s="20"/>
    </row>
    <row r="11" spans="1:10" s="14" customFormat="1" ht="20.100000000000001" customHeight="1" x14ac:dyDescent="0.15">
      <c r="A11" s="68" t="s">
        <v>494</v>
      </c>
      <c r="B11" s="73"/>
      <c r="C11" s="73"/>
      <c r="D11" s="70"/>
      <c r="E11" s="71"/>
      <c r="F11" s="70"/>
      <c r="G11" s="71"/>
      <c r="H11" s="70"/>
      <c r="I11" s="71"/>
      <c r="J11" s="70"/>
    </row>
    <row r="12" spans="1:10" s="14" customFormat="1" ht="23.45" customHeight="1" x14ac:dyDescent="0.25">
      <c r="A12" s="89" t="s">
        <v>0</v>
      </c>
      <c r="B12" s="93">
        <f>VLOOKUP(A3,Data!A1:AQ88,7,FALSE)</f>
        <v>2</v>
      </c>
      <c r="C12" s="94" t="str">
        <f>IF(B12=0,"2 or more consecutive years of findings of non-compliance (current year and previous year(s))",
IF(B12=1,"Findings of non-compliance in the current year",
IF(B12=2,"No findings of non-compliance","")))</f>
        <v>No findings of non-compliance</v>
      </c>
      <c r="D12" s="77"/>
      <c r="E12" s="77"/>
      <c r="F12" s="77"/>
      <c r="G12" s="77"/>
      <c r="H12" s="77"/>
      <c r="I12" s="77"/>
      <c r="J12" s="77"/>
    </row>
    <row r="13" spans="1:10" s="14" customFormat="1" ht="20.100000000000001" customHeight="1" x14ac:dyDescent="0.15">
      <c r="A13" s="90" t="s">
        <v>495</v>
      </c>
      <c r="B13" s="19"/>
      <c r="C13" s="19"/>
      <c r="D13" s="17"/>
      <c r="E13" s="18"/>
      <c r="F13" s="17"/>
      <c r="G13" s="18"/>
      <c r="H13" s="17"/>
      <c r="I13" s="18"/>
      <c r="J13" s="17"/>
    </row>
    <row r="14" spans="1:10" s="14" customFormat="1" ht="23.45" customHeight="1" x14ac:dyDescent="0.25">
      <c r="A14" s="89" t="s">
        <v>0</v>
      </c>
      <c r="B14" s="93">
        <f>VLOOKUP(A3,Data!A1:AQ88,8,FALSE)</f>
        <v>2</v>
      </c>
      <c r="C14" s="94" t="str">
        <f>IF(B14=0,"2 or more consecutive years of findings of non-compliance (current year and previous year(s))",
IF(B14=1,"Findings of non-compliance in the current year",
IF(B14=2,"No findings of non-compliance","")))</f>
        <v>No findings of non-compliance</v>
      </c>
      <c r="D14" s="77"/>
      <c r="E14" s="77"/>
      <c r="F14" s="77"/>
      <c r="G14" s="77"/>
      <c r="H14" s="77"/>
      <c r="I14" s="77"/>
      <c r="J14" s="77"/>
    </row>
    <row r="15" spans="1:10" s="14" customFormat="1" ht="20.100000000000001" customHeight="1" x14ac:dyDescent="0.15">
      <c r="A15" s="90" t="s">
        <v>496</v>
      </c>
      <c r="B15" s="19"/>
      <c r="C15" s="19"/>
      <c r="D15" s="17"/>
      <c r="E15" s="18"/>
      <c r="F15" s="17"/>
      <c r="G15" s="18"/>
      <c r="H15" s="17"/>
      <c r="I15" s="18"/>
      <c r="J15" s="17"/>
    </row>
    <row r="16" spans="1:10" s="14" customFormat="1" ht="23.45" customHeight="1" x14ac:dyDescent="0.25">
      <c r="A16" s="79" t="s">
        <v>0</v>
      </c>
      <c r="B16" s="91">
        <f>VLOOKUP(A3,Data!A1:AQ88,9,FALSE)</f>
        <v>2</v>
      </c>
      <c r="C16" s="92" t="str">
        <f>IF(B16=0,"2 or more consecutive years of findings of non-compliance (current year and previous year(s))",
IF(B16=1,"Findings of non-compliance in the current year",
IF(B16=2,"No findings of non-compliance","")))</f>
        <v>No findings of non-compliance</v>
      </c>
      <c r="D16" s="20"/>
      <c r="E16" s="20"/>
      <c r="F16" s="20"/>
      <c r="G16" s="20"/>
      <c r="H16" s="20"/>
      <c r="I16" s="20"/>
      <c r="J16" s="20"/>
    </row>
    <row r="17" spans="1:10" s="14" customFormat="1" ht="20.100000000000001" customHeight="1" x14ac:dyDescent="0.15">
      <c r="A17" s="68" t="s">
        <v>497</v>
      </c>
      <c r="B17" s="73"/>
      <c r="C17" s="73"/>
      <c r="D17" s="70"/>
      <c r="E17" s="71"/>
      <c r="F17" s="70"/>
      <c r="G17" s="71"/>
      <c r="H17" s="70"/>
      <c r="I17" s="71"/>
      <c r="J17" s="70"/>
    </row>
    <row r="18" spans="1:10" s="14" customFormat="1" ht="23.45" customHeight="1" x14ac:dyDescent="0.25">
      <c r="A18" s="79" t="s">
        <v>0</v>
      </c>
      <c r="B18" s="91">
        <f>VLOOKUP(A3,Data!A1:AQ88,10,FALSE)</f>
        <v>2</v>
      </c>
      <c r="C18" s="92" t="str">
        <f>IF(B18=0,"2 or more consecutive years of findings of non-compliance (current year and previous year(s))",
IF(B18=1,"Findings of non-compliance in the current year",
IF(B18=2,"No findings of non-compliance","")))</f>
        <v>No findings of non-compliance</v>
      </c>
      <c r="D18" s="20"/>
      <c r="E18" s="20"/>
      <c r="F18" s="20"/>
      <c r="G18" s="20"/>
      <c r="H18" s="20"/>
      <c r="I18" s="20"/>
      <c r="J18" s="20"/>
    </row>
    <row r="19" spans="1:10" s="14" customFormat="1" ht="20.100000000000001" customHeight="1" x14ac:dyDescent="0.15">
      <c r="A19" s="68" t="s">
        <v>498</v>
      </c>
      <c r="B19" s="73"/>
      <c r="C19" s="73"/>
      <c r="D19" s="70"/>
      <c r="E19" s="71"/>
      <c r="F19" s="70"/>
      <c r="G19" s="71"/>
      <c r="H19" s="70"/>
      <c r="I19" s="71"/>
      <c r="J19" s="70"/>
    </row>
    <row r="20" spans="1:10" s="14" customFormat="1" ht="23.45" customHeight="1" x14ac:dyDescent="0.25">
      <c r="A20" s="79" t="s">
        <v>0</v>
      </c>
      <c r="B20" s="91">
        <f>VLOOKUP(A3,Data!A1:AQ88,11,FALSE)</f>
        <v>2</v>
      </c>
      <c r="C20" s="92" t="str">
        <f>IF(B20=0,"2 or more consecutive years of findings of non-compliance (current year and previous year(s))",
IF(B20=1,"Findings of non-compliance in the current year",
IF(B20=2,"No findings of non-compliance","")))</f>
        <v>No findings of non-compliance</v>
      </c>
      <c r="D20" s="20"/>
      <c r="E20" s="20"/>
      <c r="F20" s="20"/>
      <c r="G20" s="20"/>
      <c r="H20" s="20"/>
      <c r="I20" s="20"/>
      <c r="J20" s="20"/>
    </row>
    <row r="21" spans="1:10" s="14" customFormat="1" ht="20.100000000000001" customHeight="1" x14ac:dyDescent="0.15">
      <c r="A21" s="68" t="s">
        <v>499</v>
      </c>
      <c r="B21" s="73"/>
      <c r="C21" s="73"/>
      <c r="D21" s="70"/>
      <c r="E21" s="71"/>
      <c r="F21" s="70"/>
      <c r="G21" s="71"/>
      <c r="H21" s="70"/>
      <c r="I21" s="71"/>
      <c r="J21" s="70"/>
    </row>
    <row r="22" spans="1:10" s="14" customFormat="1" ht="23.45" customHeight="1" x14ac:dyDescent="0.25">
      <c r="A22" s="79" t="s">
        <v>0</v>
      </c>
      <c r="B22" s="91">
        <f>VLOOKUP(A3,Data!A1:AQ88,12,FALSE)</f>
        <v>2</v>
      </c>
      <c r="C22" s="95" t="str">
        <f>IF(B22=0,"2 or more consecutive years of findings of non-compliance (current year and previous year(s))",
IF(B22=1,"Findings of non-compliance in the current year",
IF(B22=2,"No findings of non-compliance","")))</f>
        <v>No findings of non-compliance</v>
      </c>
      <c r="D22" s="78"/>
      <c r="E22" s="78"/>
      <c r="F22" s="78"/>
      <c r="G22" s="78"/>
      <c r="H22" s="78"/>
      <c r="I22" s="78"/>
      <c r="J22" s="78"/>
    </row>
    <row r="23" spans="1:10" s="14" customFormat="1" ht="20.100000000000001" customHeight="1" x14ac:dyDescent="0.15">
      <c r="A23" s="68" t="s">
        <v>500</v>
      </c>
      <c r="B23" s="73"/>
      <c r="C23" s="73"/>
      <c r="D23" s="70"/>
      <c r="E23" s="71"/>
      <c r="F23" s="70"/>
      <c r="G23" s="71"/>
      <c r="H23" s="70"/>
      <c r="I23" s="71"/>
      <c r="J23" s="70"/>
    </row>
    <row r="24" spans="1:10" s="14" customFormat="1" ht="23.45" customHeight="1" x14ac:dyDescent="0.25">
      <c r="A24" s="79" t="s">
        <v>0</v>
      </c>
      <c r="B24" s="91">
        <f>VLOOKUP(A3,Data!A1:AQ88,13,FALSE)</f>
        <v>2</v>
      </c>
      <c r="C24" s="95" t="str">
        <f>IF(B24=0,"2 or more consecutive years of findings of non-compliance (current year and previous year(s))",
IF(B24=1,"Findings of non-compliance in the current year",
IF(B24=2,"No findings of non-compliance","")))</f>
        <v>No findings of non-compliance</v>
      </c>
      <c r="D24" s="78"/>
      <c r="E24" s="78"/>
      <c r="F24" s="78"/>
      <c r="G24" s="78"/>
      <c r="H24" s="78"/>
      <c r="I24" s="78"/>
      <c r="J24" s="78"/>
    </row>
    <row r="25" spans="1:10" s="14" customFormat="1" ht="20.100000000000001" customHeight="1" x14ac:dyDescent="0.15">
      <c r="A25" s="68" t="s">
        <v>501</v>
      </c>
      <c r="B25" s="73"/>
      <c r="C25" s="73"/>
      <c r="D25" s="70"/>
      <c r="E25" s="71"/>
      <c r="F25" s="70"/>
      <c r="G25" s="71"/>
      <c r="H25" s="70"/>
      <c r="I25" s="71"/>
      <c r="J25" s="70"/>
    </row>
    <row r="26" spans="1:10" s="14" customFormat="1" ht="23.45" customHeight="1" x14ac:dyDescent="0.25">
      <c r="A26" s="79" t="s">
        <v>0</v>
      </c>
      <c r="B26" s="91">
        <f>VLOOKUP(A3,Data!A1:AQ88,14,FALSE)</f>
        <v>2</v>
      </c>
      <c r="C26" s="95" t="str">
        <f>IF(B26=0,"2 or more consecutive years of findings of non-compliance (current year and previous year(s))",
IF(B26=1,"Findings of non-compliance in the current year",
IF(B26=2,"No findings of non-compliance","")))</f>
        <v>No findings of non-compliance</v>
      </c>
      <c r="D26" s="78"/>
      <c r="E26" s="78"/>
      <c r="F26" s="78"/>
      <c r="G26" s="78"/>
      <c r="H26" s="78"/>
      <c r="I26" s="78"/>
      <c r="J26" s="78"/>
    </row>
    <row r="27" spans="1:10" ht="21.95" customHeight="1" x14ac:dyDescent="0.2">
      <c r="A27" s="48" t="s">
        <v>16</v>
      </c>
      <c r="B27" s="41">
        <f>SUM(B10,B12,B14,B16,B18,B20,B22,B24,B26)</f>
        <v>18</v>
      </c>
      <c r="C27" s="26"/>
      <c r="D27" s="26"/>
      <c r="E27" s="26"/>
      <c r="F27" s="26"/>
      <c r="G27" s="26"/>
      <c r="H27" s="26"/>
      <c r="I27" s="26"/>
      <c r="J27" s="26"/>
    </row>
    <row r="28" spans="1:10" s="14" customFormat="1" ht="20.100000000000001" customHeight="1" x14ac:dyDescent="0.25">
      <c r="A28" s="31" t="s">
        <v>4</v>
      </c>
      <c r="B28" s="31"/>
      <c r="C28" s="31"/>
      <c r="D28" s="31"/>
      <c r="E28" s="31"/>
      <c r="F28" s="31"/>
      <c r="G28" s="31"/>
      <c r="H28" s="31"/>
      <c r="I28" s="31"/>
      <c r="J28" s="31"/>
    </row>
    <row r="29" spans="1:10" ht="12" x14ac:dyDescent="0.2">
      <c r="A29" s="68" t="s">
        <v>322</v>
      </c>
      <c r="B29" s="46"/>
      <c r="C29" s="47"/>
      <c r="D29" s="45"/>
      <c r="E29" s="45"/>
      <c r="F29" s="44"/>
      <c r="G29" s="44"/>
      <c r="H29" s="44"/>
      <c r="I29" s="44"/>
      <c r="J29" s="44"/>
    </row>
    <row r="30" spans="1:10" x14ac:dyDescent="0.2">
      <c r="A30" s="7" t="s">
        <v>0</v>
      </c>
      <c r="B30" s="97">
        <f>VLOOKUP(A3,Data!A1:AQ88,15,FALSE)</f>
        <v>1</v>
      </c>
      <c r="C30" s="92" t="str">
        <f>IF(B30=0,"Does not meet prior year’s state performance and did not improve",
IF(B30=1,"Does not meet prior year’s state performance but improved since last year",
IF(B30=2,"Meets or exceeds prior year’s state performance",
IF(B30=3,"Meets or exceeds current state target",""))))</f>
        <v>Does not meet prior year’s state performance but improved since last year</v>
      </c>
      <c r="D30" s="20"/>
      <c r="E30" s="20"/>
      <c r="F30" s="22"/>
      <c r="G30" s="20"/>
      <c r="H30" s="20"/>
      <c r="I30" s="20"/>
    </row>
    <row r="31" spans="1:10" ht="20.100000000000001" customHeight="1" x14ac:dyDescent="0.2">
      <c r="A31" s="38"/>
      <c r="B31" s="15"/>
      <c r="C31" s="16"/>
      <c r="D31" s="21"/>
      <c r="E31" s="21"/>
      <c r="F31" s="16"/>
      <c r="G31" s="16"/>
      <c r="H31" s="16"/>
      <c r="I31" s="16"/>
      <c r="J31" s="16"/>
    </row>
    <row r="32" spans="1:10" ht="11.25" customHeight="1" x14ac:dyDescent="0.2">
      <c r="A32" s="19"/>
      <c r="B32" s="43" t="s">
        <v>316</v>
      </c>
      <c r="C32" s="56">
        <v>0.7</v>
      </c>
      <c r="E32" s="23"/>
      <c r="F32" s="23"/>
      <c r="G32" s="23"/>
      <c r="H32" s="23"/>
      <c r="I32" s="23"/>
      <c r="J32" s="23"/>
    </row>
    <row r="33" spans="1:10" ht="11.25" customHeight="1" x14ac:dyDescent="0.2">
      <c r="A33" s="19"/>
      <c r="B33" s="43" t="s">
        <v>298</v>
      </c>
      <c r="C33" s="56">
        <v>0.53700000000000003</v>
      </c>
      <c r="E33" s="23"/>
      <c r="F33" s="23"/>
      <c r="G33" s="23"/>
      <c r="H33" s="23"/>
      <c r="I33" s="23"/>
      <c r="J33" s="23"/>
    </row>
    <row r="34" spans="1:10" ht="11.25" customHeight="1" x14ac:dyDescent="0.2">
      <c r="A34" s="19"/>
      <c r="B34" s="43" t="s">
        <v>299</v>
      </c>
      <c r="C34" s="56">
        <f>VLOOKUP(A3,Data!A1:AQ88,16,FALSE)</f>
        <v>0.46429999999999999</v>
      </c>
      <c r="E34" s="23"/>
      <c r="F34" s="23"/>
      <c r="G34" s="23"/>
      <c r="H34" s="23"/>
      <c r="I34" s="23"/>
      <c r="J34" s="23"/>
    </row>
    <row r="35" spans="1:10" ht="11.25" customHeight="1" x14ac:dyDescent="0.2">
      <c r="A35" s="19"/>
      <c r="B35" s="43" t="s">
        <v>466</v>
      </c>
      <c r="C35" s="56">
        <f>VLOOKUP(A3,Data!A1:AQ88,17,FALSE)</f>
        <v>0.52380000000000004</v>
      </c>
      <c r="E35" s="23"/>
      <c r="F35" s="23"/>
      <c r="G35" s="23"/>
      <c r="H35" s="23"/>
      <c r="I35" s="23"/>
      <c r="J35" s="23"/>
    </row>
    <row r="36" spans="1:10" ht="11.25" customHeight="1" x14ac:dyDescent="0.2">
      <c r="A36" s="19"/>
      <c r="B36" s="19"/>
      <c r="C36" s="19"/>
      <c r="D36" s="19"/>
      <c r="E36" s="19"/>
      <c r="F36" s="19"/>
      <c r="G36" s="19"/>
      <c r="H36" s="19"/>
      <c r="I36" s="19"/>
      <c r="J36" s="19"/>
    </row>
    <row r="37" spans="1:10" ht="12" x14ac:dyDescent="0.2">
      <c r="A37" s="68" t="s">
        <v>502</v>
      </c>
      <c r="B37" s="46"/>
      <c r="C37" s="47"/>
      <c r="D37" s="45"/>
      <c r="E37" s="45"/>
      <c r="F37" s="44"/>
      <c r="G37" s="44"/>
      <c r="H37" s="44"/>
      <c r="I37" s="44"/>
      <c r="J37" s="44"/>
    </row>
    <row r="38" spans="1:10" x14ac:dyDescent="0.2">
      <c r="A38" s="7" t="s">
        <v>0</v>
      </c>
      <c r="B38" s="97">
        <f>VLOOKUP(A3,Data!A1:AQ88,18,FALSE)</f>
        <v>0.5</v>
      </c>
      <c r="C38" s="92" t="str">
        <f>IF(B38=0,"Does not meet prior year’s state performance and did not improve",
IF(AND(B38&gt;0,B38&lt;=0.5),"Does not meet prior year’s state performance but improved since last year",
IF(AND(B38&gt;0.5,B38&lt;=1),"Meets or exceeds prior year’s state performance",
IF(AND(B38&gt;1,B38&lt;=1.5),"Meets or exceeds current state target",""))))</f>
        <v>Does not meet prior year’s state performance but improved since last year</v>
      </c>
      <c r="D38" s="20"/>
      <c r="E38" s="20"/>
      <c r="F38" s="22"/>
      <c r="G38" s="20"/>
      <c r="H38" s="20"/>
      <c r="I38" s="20"/>
    </row>
    <row r="39" spans="1:10" ht="20.100000000000001" customHeight="1" x14ac:dyDescent="0.2">
      <c r="A39" s="38"/>
      <c r="B39" s="15"/>
      <c r="C39" s="16"/>
      <c r="D39" s="21"/>
      <c r="E39" s="21"/>
      <c r="F39" s="16"/>
      <c r="G39" s="16"/>
      <c r="H39" s="16"/>
      <c r="I39" s="16"/>
      <c r="J39" s="16"/>
    </row>
    <row r="40" spans="1:10" ht="11.25" customHeight="1" x14ac:dyDescent="0.2">
      <c r="A40" s="19"/>
      <c r="B40" s="43" t="s">
        <v>316</v>
      </c>
      <c r="C40" s="56">
        <v>0.25</v>
      </c>
      <c r="E40" s="23"/>
      <c r="F40" s="23"/>
      <c r="G40" s="23"/>
      <c r="H40" s="23"/>
      <c r="I40" s="23"/>
      <c r="J40" s="23"/>
    </row>
    <row r="41" spans="1:10" ht="11.25" customHeight="1" x14ac:dyDescent="0.2">
      <c r="A41" s="19"/>
      <c r="B41" s="43" t="s">
        <v>298</v>
      </c>
      <c r="C41" s="56">
        <v>0.18360000000000001</v>
      </c>
      <c r="E41" s="23"/>
      <c r="F41" s="23"/>
      <c r="G41" s="23"/>
      <c r="H41" s="23"/>
      <c r="I41" s="23"/>
      <c r="J41" s="23"/>
    </row>
    <row r="42" spans="1:10" ht="11.25" customHeight="1" x14ac:dyDescent="0.2">
      <c r="A42" s="19"/>
      <c r="B42" s="43" t="s">
        <v>299</v>
      </c>
      <c r="C42" s="56">
        <f>VLOOKUP(A3,Data!A1:AQ88,19,FALSE)</f>
        <v>3.0300000000000001E-2</v>
      </c>
      <c r="E42" s="23"/>
      <c r="F42" s="23"/>
      <c r="G42" s="23"/>
      <c r="H42" s="23"/>
      <c r="I42" s="23"/>
      <c r="J42" s="23"/>
    </row>
    <row r="43" spans="1:10" ht="11.25" customHeight="1" x14ac:dyDescent="0.2">
      <c r="A43" s="19"/>
      <c r="B43" s="43" t="s">
        <v>466</v>
      </c>
      <c r="C43" s="56">
        <f>VLOOKUP(A3,Data!A1:AQ88,20,FALSE)</f>
        <v>0.15790000000000001</v>
      </c>
      <c r="E43" s="23"/>
      <c r="F43" s="23"/>
      <c r="G43" s="23"/>
      <c r="H43" s="23"/>
      <c r="I43" s="23"/>
      <c r="J43" s="23"/>
    </row>
    <row r="44" spans="1:10" x14ac:dyDescent="0.2">
      <c r="A44" s="19"/>
      <c r="B44" s="19"/>
      <c r="C44" s="100"/>
      <c r="D44" s="19"/>
      <c r="E44" s="19"/>
      <c r="F44" s="19"/>
      <c r="G44" s="19"/>
      <c r="H44" s="19"/>
      <c r="I44" s="19"/>
      <c r="J44" s="19"/>
    </row>
    <row r="45" spans="1:10" ht="12" x14ac:dyDescent="0.2">
      <c r="A45" s="68" t="s">
        <v>503</v>
      </c>
      <c r="B45" s="46"/>
      <c r="C45" s="47"/>
      <c r="D45" s="45"/>
      <c r="E45" s="45"/>
      <c r="F45" s="44"/>
      <c r="G45" s="44"/>
      <c r="H45" s="44"/>
      <c r="I45" s="44"/>
      <c r="J45" s="44"/>
    </row>
    <row r="46" spans="1:10" x14ac:dyDescent="0.2">
      <c r="A46" s="7" t="s">
        <v>0</v>
      </c>
      <c r="B46" s="97">
        <f>VLOOKUP(A3,Data!A1:AQ88,21,FALSE)</f>
        <v>0</v>
      </c>
      <c r="C46" s="92" t="str">
        <f>IF(B46=0,"Does not meet prior year’s state performance and did not improve",
IF(AND(B46&gt;0,B46&lt;=0.5),"Does not meet prior year’s state performance but improved since last year",
IF(AND(B46&gt;0.5,B46&lt;=1),"Meets or exceeds prior year’s state performance",
IF(AND(B46&gt;1,B46&lt;=1.5),"Meets or exceeds current state target",""))))</f>
        <v>Does not meet prior year’s state performance and did not improve</v>
      </c>
      <c r="D46" s="20"/>
      <c r="E46" s="20"/>
      <c r="F46" s="22"/>
      <c r="G46" s="20"/>
      <c r="H46" s="20"/>
      <c r="I46" s="20"/>
    </row>
    <row r="47" spans="1:10" ht="20.100000000000001" customHeight="1" x14ac:dyDescent="0.2">
      <c r="A47" s="38"/>
      <c r="B47" s="15"/>
      <c r="C47" s="16"/>
      <c r="D47" s="21"/>
      <c r="E47" s="21"/>
      <c r="F47" s="16"/>
      <c r="G47" s="16"/>
      <c r="H47" s="16"/>
      <c r="I47" s="16"/>
      <c r="J47" s="16"/>
    </row>
    <row r="48" spans="1:10" ht="11.25" customHeight="1" x14ac:dyDescent="0.2">
      <c r="A48" s="19"/>
      <c r="B48" s="43" t="s">
        <v>316</v>
      </c>
      <c r="C48" s="56">
        <v>0.15</v>
      </c>
      <c r="E48" s="23"/>
      <c r="F48" s="23"/>
      <c r="G48" s="23"/>
      <c r="H48" s="23"/>
      <c r="I48" s="23"/>
      <c r="J48" s="23"/>
    </row>
    <row r="49" spans="1:10" ht="11.25" customHeight="1" x14ac:dyDescent="0.2">
      <c r="A49" s="19"/>
      <c r="B49" s="43" t="s">
        <v>298</v>
      </c>
      <c r="C49" s="56">
        <v>9.35E-2</v>
      </c>
      <c r="E49" s="23"/>
      <c r="F49" s="23"/>
      <c r="G49" s="23"/>
      <c r="H49" s="23"/>
      <c r="I49" s="23"/>
      <c r="J49" s="23"/>
    </row>
    <row r="50" spans="1:10" ht="11.25" customHeight="1" x14ac:dyDescent="0.2">
      <c r="A50" s="19"/>
      <c r="B50" s="43" t="s">
        <v>299</v>
      </c>
      <c r="C50" s="56">
        <f>VLOOKUP(A3,Data!A1:AQ88,22,FALSE)</f>
        <v>9.3799999999999994E-2</v>
      </c>
      <c r="E50" s="23"/>
      <c r="F50" s="23"/>
      <c r="G50" s="23"/>
      <c r="H50" s="23"/>
      <c r="I50" s="23"/>
      <c r="J50" s="23"/>
    </row>
    <row r="51" spans="1:10" ht="11.25" customHeight="1" x14ac:dyDescent="0.2">
      <c r="A51" s="19"/>
      <c r="B51" s="43" t="s">
        <v>466</v>
      </c>
      <c r="C51" s="56">
        <f>VLOOKUP(A3,Data!A1:AQ88,23,FALSE)</f>
        <v>6.6699999999999995E-2</v>
      </c>
      <c r="E51" s="23"/>
      <c r="F51" s="23"/>
      <c r="G51" s="23"/>
      <c r="H51" s="23"/>
      <c r="I51" s="23"/>
      <c r="J51" s="23"/>
    </row>
    <row r="52" spans="1:10" ht="11.25" customHeight="1" x14ac:dyDescent="0.2">
      <c r="A52" s="88"/>
      <c r="B52" s="19"/>
      <c r="C52" s="19"/>
      <c r="D52" s="19"/>
      <c r="E52" s="19"/>
      <c r="F52" s="19"/>
      <c r="G52" s="19"/>
      <c r="H52" s="19"/>
      <c r="I52" s="19"/>
      <c r="J52" s="19"/>
    </row>
    <row r="53" spans="1:10" ht="12" x14ac:dyDescent="0.2">
      <c r="A53" s="68" t="s">
        <v>504</v>
      </c>
      <c r="B53" s="46"/>
      <c r="C53" s="47"/>
      <c r="D53" s="45"/>
      <c r="E53" s="45"/>
      <c r="F53" s="44"/>
      <c r="G53" s="44"/>
      <c r="H53" s="44"/>
      <c r="I53" s="44"/>
      <c r="J53" s="44"/>
    </row>
    <row r="54" spans="1:10" x14ac:dyDescent="0.2">
      <c r="A54" s="7" t="s">
        <v>0</v>
      </c>
      <c r="B54" s="97">
        <f>VLOOKUP(A3,Data!A1:AQ88,24,FALSE)</f>
        <v>0</v>
      </c>
      <c r="C54" s="92" t="str">
        <f>IF(B54=0,"Does not meet prior year’s state performance and did not improve",
IF(AND(B54&gt;0,B54&lt;=0.5),"Does not meet prior year’s state performance but improved since last year",
IF(AND(B54&gt;0.5,B54&lt;=1),"Meets or exceeds prior year’s state performance",
IF(AND(B54&gt;1,B54&lt;=1.5),"Meets or exceeds current state target",""))))</f>
        <v>Does not meet prior year’s state performance and did not improve</v>
      </c>
      <c r="D54" s="20"/>
      <c r="E54" s="20"/>
      <c r="F54" s="22"/>
      <c r="G54" s="20"/>
      <c r="H54" s="20"/>
      <c r="I54" s="20"/>
    </row>
    <row r="55" spans="1:10" ht="20.100000000000001" customHeight="1" x14ac:dyDescent="0.2">
      <c r="A55" s="38"/>
      <c r="B55" s="15"/>
      <c r="C55" s="16"/>
      <c r="D55" s="21"/>
      <c r="E55" s="21"/>
      <c r="F55" s="16"/>
      <c r="G55" s="16"/>
      <c r="H55" s="16"/>
      <c r="I55" s="16"/>
      <c r="J55" s="16"/>
    </row>
    <row r="56" spans="1:10" ht="11.25" customHeight="1" x14ac:dyDescent="0.2">
      <c r="A56" s="19"/>
      <c r="B56" s="43" t="s">
        <v>316</v>
      </c>
      <c r="C56" s="56">
        <v>0.22</v>
      </c>
      <c r="E56" s="23"/>
      <c r="F56" s="23"/>
      <c r="G56" s="23"/>
      <c r="H56" s="23"/>
      <c r="I56" s="23"/>
      <c r="J56" s="23"/>
    </row>
    <row r="57" spans="1:10" ht="11.25" customHeight="1" x14ac:dyDescent="0.2">
      <c r="A57" s="19"/>
      <c r="B57" s="43" t="s">
        <v>298</v>
      </c>
      <c r="C57" s="56">
        <v>0.20799999999999999</v>
      </c>
      <c r="E57" s="23"/>
      <c r="F57" s="23"/>
      <c r="G57" s="23"/>
      <c r="H57" s="23"/>
      <c r="I57" s="23"/>
      <c r="J57" s="23"/>
    </row>
    <row r="58" spans="1:10" ht="11.25" customHeight="1" x14ac:dyDescent="0.2">
      <c r="A58" s="19"/>
      <c r="B58" s="43" t="s">
        <v>299</v>
      </c>
      <c r="C58" s="56">
        <f>VLOOKUP(A3,Data!A1:AQ88,25,FALSE)</f>
        <v>0.2424</v>
      </c>
      <c r="E58" s="23"/>
      <c r="F58" s="23"/>
      <c r="G58" s="23"/>
      <c r="H58" s="23"/>
      <c r="I58" s="23"/>
      <c r="J58" s="23"/>
    </row>
    <row r="59" spans="1:10" ht="11.25" customHeight="1" x14ac:dyDescent="0.2">
      <c r="A59" s="19"/>
      <c r="B59" s="43" t="s">
        <v>466</v>
      </c>
      <c r="C59" s="56">
        <f>VLOOKUP(A3,Data!A1:AQ88,26,FALSE)</f>
        <v>0.13159999999999999</v>
      </c>
      <c r="E59" s="23"/>
      <c r="F59" s="23"/>
      <c r="G59" s="23"/>
      <c r="H59" s="23"/>
      <c r="I59" s="23"/>
      <c r="J59" s="23"/>
    </row>
    <row r="60" spans="1:10" ht="11.25" customHeight="1" x14ac:dyDescent="0.2">
      <c r="A60" s="88"/>
      <c r="B60" s="88"/>
      <c r="C60" s="19"/>
      <c r="D60" s="19"/>
      <c r="E60" s="19"/>
      <c r="F60" s="19"/>
      <c r="G60" s="19"/>
      <c r="H60" s="19"/>
      <c r="I60" s="19"/>
      <c r="J60" s="19"/>
    </row>
    <row r="61" spans="1:10" ht="12" x14ac:dyDescent="0.2">
      <c r="A61" s="68" t="s">
        <v>505</v>
      </c>
      <c r="B61" s="46"/>
      <c r="C61" s="47"/>
      <c r="D61" s="45"/>
      <c r="E61" s="45"/>
      <c r="F61" s="44"/>
      <c r="G61" s="44"/>
      <c r="H61" s="44"/>
      <c r="I61" s="44"/>
      <c r="J61" s="44"/>
    </row>
    <row r="62" spans="1:10" x14ac:dyDescent="0.2">
      <c r="A62" s="7" t="s">
        <v>0</v>
      </c>
      <c r="B62" s="97">
        <f>VLOOKUP(A3,Data!A1:AQ88,27,FALSE)</f>
        <v>0.5</v>
      </c>
      <c r="C62" s="92" t="str">
        <f>IF(B62=0,"Does not meet prior year’s state performance and did not improve",
IF(AND(B62&gt;0,B62&lt;=0.5),"Does not meet prior year’s state performance but improved since last year",
IF(AND(B62&gt;0.5,B62&lt;=1),"Meets or exceeds prior year’s state performance",
IF(AND(B62&gt;1,B62&lt;=1.5),"Meets or exceeds current state target",""))))</f>
        <v>Does not meet prior year’s state performance but improved since last year</v>
      </c>
      <c r="D62" s="20"/>
      <c r="E62" s="20"/>
      <c r="F62" s="22"/>
      <c r="G62" s="20"/>
      <c r="H62" s="20"/>
      <c r="I62" s="20"/>
    </row>
    <row r="63" spans="1:10" ht="20.100000000000001" customHeight="1" x14ac:dyDescent="0.2">
      <c r="A63" s="38"/>
      <c r="B63" s="15"/>
      <c r="C63" s="16"/>
      <c r="D63" s="21"/>
      <c r="E63" s="21"/>
      <c r="F63" s="16"/>
      <c r="G63" s="16"/>
      <c r="H63" s="16"/>
      <c r="I63" s="16"/>
      <c r="J63" s="16"/>
    </row>
    <row r="64" spans="1:10" ht="11.25" customHeight="1" x14ac:dyDescent="0.2">
      <c r="A64" s="19"/>
      <c r="B64" s="43" t="s">
        <v>316</v>
      </c>
      <c r="C64" s="56">
        <v>0.1</v>
      </c>
      <c r="E64" s="23"/>
      <c r="F64" s="23"/>
      <c r="G64" s="23"/>
      <c r="H64" s="23"/>
      <c r="I64" s="23"/>
      <c r="J64" s="23"/>
    </row>
    <row r="65" spans="1:10" ht="11.25" customHeight="1" x14ac:dyDescent="0.2">
      <c r="A65" s="19"/>
      <c r="B65" s="43" t="s">
        <v>298</v>
      </c>
      <c r="C65" s="56">
        <v>7.7899999999999997E-2</v>
      </c>
      <c r="E65" s="23"/>
      <c r="F65" s="23"/>
      <c r="G65" s="23"/>
      <c r="H65" s="23"/>
      <c r="I65" s="23"/>
      <c r="J65" s="23"/>
    </row>
    <row r="66" spans="1:10" ht="11.25" customHeight="1" x14ac:dyDescent="0.2">
      <c r="A66" s="19"/>
      <c r="B66" s="43" t="s">
        <v>299</v>
      </c>
      <c r="C66" s="56">
        <f>VLOOKUP(A3,Data!A1:AQ88,28,FALSE)</f>
        <v>3.1300000000000001E-2</v>
      </c>
      <c r="E66" s="23"/>
      <c r="F66" s="23"/>
      <c r="G66" s="23"/>
      <c r="H66" s="23"/>
      <c r="I66" s="23"/>
      <c r="J66" s="23"/>
    </row>
    <row r="67" spans="1:10" ht="11.25" customHeight="1" x14ac:dyDescent="0.2">
      <c r="A67" s="19"/>
      <c r="B67" s="43" t="s">
        <v>466</v>
      </c>
      <c r="C67" s="56">
        <f>VLOOKUP(A3,Data!A1:AQ88,29,FALSE)</f>
        <v>6.6699999999999995E-2</v>
      </c>
      <c r="E67" s="23"/>
      <c r="F67" s="23"/>
      <c r="G67" s="23"/>
      <c r="H67" s="23"/>
      <c r="I67" s="23"/>
      <c r="J67" s="23"/>
    </row>
    <row r="68" spans="1:10" ht="11.25" customHeight="1" x14ac:dyDescent="0.2">
      <c r="A68" s="19"/>
      <c r="B68" s="19"/>
      <c r="C68" s="19"/>
      <c r="D68" s="19"/>
      <c r="E68" s="19"/>
      <c r="F68" s="19"/>
      <c r="G68" s="19"/>
      <c r="H68" s="19"/>
      <c r="I68" s="19"/>
      <c r="J68" s="19"/>
    </row>
    <row r="69" spans="1:10" ht="12" x14ac:dyDescent="0.2">
      <c r="A69" s="68" t="s">
        <v>506</v>
      </c>
      <c r="B69" s="46"/>
      <c r="C69" s="47"/>
      <c r="D69" s="45"/>
      <c r="E69" s="45"/>
      <c r="F69" s="44"/>
      <c r="G69" s="44"/>
      <c r="H69" s="44"/>
      <c r="I69" s="44"/>
      <c r="J69" s="44"/>
    </row>
    <row r="70" spans="1:10" x14ac:dyDescent="0.2">
      <c r="A70" s="7" t="s">
        <v>0</v>
      </c>
      <c r="B70" s="97">
        <f>VLOOKUP(A3,Data!A1:AQ88,30,FALSE)</f>
        <v>2</v>
      </c>
      <c r="C70" s="92" t="str">
        <f>IF(B70=0,"Does not meet prior year’s state performance and did not improve",
IF(B70=1,"Does not meet prior year’s state performance but improved since last year",
IF(B70=2,"Meets or exceeds prior year’s state performance",
IF(B70=3,"Meets or exceeds current state target",""))))</f>
        <v>Meets or exceeds prior year’s state performance</v>
      </c>
      <c r="D70" s="20"/>
      <c r="E70" s="20"/>
      <c r="F70" s="22"/>
      <c r="G70" s="20"/>
      <c r="H70" s="20"/>
      <c r="I70" s="20"/>
    </row>
    <row r="71" spans="1:10" ht="20.100000000000001" customHeight="1" x14ac:dyDescent="0.2">
      <c r="A71" s="38"/>
      <c r="B71" s="15"/>
      <c r="C71" s="16"/>
      <c r="D71" s="21"/>
      <c r="E71" s="21"/>
      <c r="F71" s="16"/>
      <c r="G71" s="16"/>
      <c r="H71" s="16"/>
      <c r="I71" s="16"/>
      <c r="J71" s="16"/>
    </row>
    <row r="72" spans="1:10" ht="11.25" customHeight="1" x14ac:dyDescent="0.2">
      <c r="A72" s="19"/>
      <c r="B72" s="43" t="s">
        <v>316</v>
      </c>
      <c r="C72" s="56">
        <v>0.7</v>
      </c>
      <c r="E72" s="23"/>
      <c r="F72" s="23"/>
      <c r="G72" s="23"/>
      <c r="H72" s="23"/>
      <c r="I72" s="23"/>
      <c r="J72" s="23"/>
    </row>
    <row r="73" spans="1:10" ht="11.25" customHeight="1" x14ac:dyDescent="0.2">
      <c r="A73" s="19"/>
      <c r="B73" s="43" t="s">
        <v>298</v>
      </c>
      <c r="C73" s="56">
        <v>0.63500000000000001</v>
      </c>
      <c r="E73" s="23"/>
      <c r="F73" s="23"/>
      <c r="G73" s="23"/>
      <c r="H73" s="23"/>
      <c r="I73" s="23"/>
      <c r="J73" s="23"/>
    </row>
    <row r="74" spans="1:10" ht="11.25" customHeight="1" x14ac:dyDescent="0.2">
      <c r="A74" s="19"/>
      <c r="B74" s="43" t="s">
        <v>299</v>
      </c>
      <c r="C74" s="56">
        <f>VLOOKUP(A3,Data!A1:AQ88,31,FALSE)</f>
        <v>0.69820000000000004</v>
      </c>
      <c r="E74" s="23"/>
      <c r="F74" s="23"/>
      <c r="G74" s="23"/>
      <c r="H74" s="23"/>
      <c r="I74" s="23"/>
      <c r="J74" s="23"/>
    </row>
    <row r="75" spans="1:10" ht="11.25" customHeight="1" x14ac:dyDescent="0.2">
      <c r="A75" s="19"/>
      <c r="B75" s="43" t="s">
        <v>466</v>
      </c>
      <c r="C75" s="56">
        <f>VLOOKUP(A3,Data!A1:AQ88,32,FALSE)</f>
        <v>0.69120000000000004</v>
      </c>
      <c r="E75" s="23"/>
      <c r="F75" s="23"/>
      <c r="G75" s="23"/>
      <c r="H75" s="23"/>
      <c r="I75" s="23"/>
      <c r="J75" s="23"/>
    </row>
    <row r="76" spans="1:10" ht="11.25" customHeight="1" x14ac:dyDescent="0.2">
      <c r="A76" s="19"/>
      <c r="B76" s="19"/>
      <c r="C76" s="19"/>
      <c r="D76" s="19"/>
      <c r="E76" s="19"/>
      <c r="F76" s="19"/>
      <c r="G76" s="19"/>
      <c r="H76" s="19"/>
      <c r="I76" s="19"/>
      <c r="J76" s="19"/>
    </row>
    <row r="77" spans="1:10" ht="12" x14ac:dyDescent="0.2">
      <c r="A77" s="68" t="s">
        <v>507</v>
      </c>
      <c r="B77" s="46"/>
      <c r="C77" s="47"/>
      <c r="D77" s="45"/>
      <c r="E77" s="45"/>
      <c r="F77" s="44"/>
      <c r="G77" s="44"/>
      <c r="H77" s="44"/>
      <c r="I77" s="44"/>
      <c r="J77" s="44"/>
    </row>
    <row r="78" spans="1:10" x14ac:dyDescent="0.2">
      <c r="A78" s="7" t="s">
        <v>0</v>
      </c>
      <c r="B78" s="97">
        <f>VLOOKUP(A3,Data!A1:AQ88,33,FALSE)</f>
        <v>3</v>
      </c>
      <c r="C78" s="92" t="str">
        <f>IF(B78=0,"Does not meet prior year’s state performance and did not improve",
IF(B78=1,"Does not meet prior year’s state performance but improved since last year",
IF(B78=2,"Meets or exceeds prior year’s state performance",
IF(B78=3,"Meets or exceeds current state target",""))))</f>
        <v>Meets or exceeds current state target</v>
      </c>
      <c r="D78" s="20"/>
      <c r="E78" s="20"/>
      <c r="F78" s="22"/>
      <c r="G78" s="20"/>
      <c r="H78" s="20"/>
      <c r="I78" s="20"/>
    </row>
    <row r="79" spans="1:10" ht="20.100000000000001" customHeight="1" x14ac:dyDescent="0.2">
      <c r="A79" s="38"/>
      <c r="B79" s="15"/>
      <c r="C79" s="16"/>
      <c r="D79" s="21"/>
      <c r="E79" s="21"/>
      <c r="F79" s="16"/>
      <c r="G79" s="16"/>
      <c r="H79" s="16"/>
      <c r="I79" s="16"/>
      <c r="J79" s="16"/>
    </row>
    <row r="80" spans="1:10" ht="11.25" customHeight="1" x14ac:dyDescent="0.2">
      <c r="A80" s="19"/>
      <c r="B80" s="43" t="s">
        <v>316</v>
      </c>
      <c r="C80" s="56">
        <v>1</v>
      </c>
      <c r="E80" s="23"/>
      <c r="F80" s="23"/>
      <c r="G80" s="23"/>
      <c r="H80" s="23"/>
      <c r="I80" s="23"/>
      <c r="J80" s="23"/>
    </row>
    <row r="81" spans="1:10" ht="11.25" customHeight="1" x14ac:dyDescent="0.2">
      <c r="A81" s="19"/>
      <c r="B81" s="43" t="s">
        <v>298</v>
      </c>
      <c r="C81" s="56">
        <v>1</v>
      </c>
      <c r="E81" s="23"/>
      <c r="F81" s="23"/>
      <c r="G81" s="23"/>
      <c r="H81" s="23"/>
      <c r="I81" s="23"/>
      <c r="J81" s="23"/>
    </row>
    <row r="82" spans="1:10" ht="11.25" customHeight="1" x14ac:dyDescent="0.2">
      <c r="A82" s="19"/>
      <c r="B82" s="43" t="s">
        <v>299</v>
      </c>
      <c r="C82" s="56">
        <f>VLOOKUP(A3,Data!A1:AQ88,34,FALSE)</f>
        <v>1</v>
      </c>
      <c r="E82" s="23"/>
      <c r="F82" s="23"/>
      <c r="G82" s="23"/>
      <c r="H82" s="23"/>
      <c r="I82" s="23"/>
      <c r="J82" s="23"/>
    </row>
    <row r="83" spans="1:10" ht="11.25" customHeight="1" x14ac:dyDescent="0.2">
      <c r="A83" s="19"/>
      <c r="B83" s="43" t="s">
        <v>466</v>
      </c>
      <c r="C83" s="56">
        <f>VLOOKUP(A3,Data!A1:AQ88,35,FALSE)</f>
        <v>1</v>
      </c>
      <c r="E83" s="23"/>
      <c r="F83" s="23"/>
      <c r="G83" s="23"/>
      <c r="H83" s="23"/>
      <c r="I83" s="23"/>
      <c r="J83" s="23"/>
    </row>
    <row r="84" spans="1:10" ht="11.25" customHeight="1" x14ac:dyDescent="0.2">
      <c r="A84" s="19"/>
      <c r="B84" s="19"/>
      <c r="C84" s="19"/>
      <c r="D84" s="19"/>
      <c r="E84" s="19"/>
      <c r="F84" s="19"/>
      <c r="G84" s="19"/>
      <c r="H84" s="19"/>
      <c r="I84" s="19"/>
      <c r="J84" s="19"/>
    </row>
    <row r="85" spans="1:10" ht="12" x14ac:dyDescent="0.2">
      <c r="A85" s="68" t="s">
        <v>508</v>
      </c>
      <c r="B85" s="46"/>
      <c r="C85" s="47"/>
      <c r="D85" s="45"/>
      <c r="E85" s="45"/>
      <c r="F85" s="44"/>
      <c r="G85" s="44"/>
      <c r="H85" s="44"/>
      <c r="I85" s="44"/>
      <c r="J85" s="44"/>
    </row>
    <row r="86" spans="1:10" x14ac:dyDescent="0.2">
      <c r="A86" s="7" t="s">
        <v>0</v>
      </c>
      <c r="B86" s="97">
        <f>VLOOKUP(A3,Data!A1:AQ88,36,FALSE)</f>
        <v>2</v>
      </c>
      <c r="C86" s="92" t="str">
        <f>IF(B86=0,"Does not meet prior year’s state performance and did not improve",
IF(B86=1,"Does not meet prior year’s state performance but improved since last year",
IF(B86=2,"Meets or exceeds prior year’s state performance",
IF(B86=3,"Meets or exceeds current state target",""))))</f>
        <v>Meets or exceeds prior year’s state performance</v>
      </c>
      <c r="D86" s="20"/>
      <c r="E86" s="20"/>
      <c r="F86" s="22"/>
      <c r="G86" s="20"/>
      <c r="H86" s="20"/>
      <c r="I86" s="20"/>
    </row>
    <row r="87" spans="1:10" ht="20.100000000000001" customHeight="1" x14ac:dyDescent="0.2">
      <c r="A87" s="38"/>
      <c r="B87" s="15"/>
      <c r="C87" s="16"/>
      <c r="D87" s="21"/>
      <c r="E87" s="21"/>
      <c r="F87" s="16"/>
      <c r="G87" s="16"/>
      <c r="H87" s="16"/>
      <c r="I87" s="16"/>
      <c r="J87" s="16"/>
    </row>
    <row r="88" spans="1:10" ht="11.25" customHeight="1" x14ac:dyDescent="0.2">
      <c r="A88" s="19"/>
      <c r="B88" s="43" t="s">
        <v>317</v>
      </c>
      <c r="C88" s="56">
        <v>0.09</v>
      </c>
      <c r="E88" s="23"/>
      <c r="F88" s="23"/>
      <c r="G88" s="23"/>
      <c r="H88" s="23"/>
      <c r="I88" s="23"/>
      <c r="J88" s="23"/>
    </row>
    <row r="89" spans="1:10" ht="11.25" customHeight="1" x14ac:dyDescent="0.2">
      <c r="A89" s="19"/>
      <c r="B89" s="43" t="s">
        <v>298</v>
      </c>
      <c r="C89" s="56">
        <v>0.156</v>
      </c>
      <c r="E89" s="23"/>
      <c r="F89" s="23"/>
      <c r="G89" s="23"/>
      <c r="H89" s="23"/>
      <c r="I89" s="23"/>
      <c r="J89" s="23"/>
    </row>
    <row r="90" spans="1:10" ht="11.25" customHeight="1" x14ac:dyDescent="0.2">
      <c r="A90" s="19"/>
      <c r="B90" s="43" t="s">
        <v>299</v>
      </c>
      <c r="C90" s="56">
        <f>VLOOKUP(A3,Data!A1:AQ88,37,FALSE)</f>
        <v>0.105</v>
      </c>
      <c r="E90" s="23"/>
      <c r="F90" s="23"/>
      <c r="G90" s="23"/>
      <c r="H90" s="23"/>
      <c r="I90" s="23"/>
      <c r="J90" s="23"/>
    </row>
    <row r="91" spans="1:10" ht="11.25" customHeight="1" x14ac:dyDescent="0.2">
      <c r="A91" s="19"/>
      <c r="B91" s="43" t="s">
        <v>466</v>
      </c>
      <c r="C91" s="56">
        <f>VLOOKUP(A3,Data!A1:AQ88,38,FALSE)</f>
        <v>0.1368</v>
      </c>
      <c r="E91" s="23"/>
      <c r="F91" s="23"/>
      <c r="G91" s="23"/>
      <c r="H91" s="23"/>
      <c r="I91" s="23"/>
      <c r="J91" s="23"/>
    </row>
    <row r="92" spans="1:10" ht="11.25" customHeight="1" x14ac:dyDescent="0.2">
      <c r="A92" s="19"/>
      <c r="B92" s="19"/>
      <c r="C92" s="19"/>
      <c r="D92" s="19"/>
      <c r="E92" s="19"/>
      <c r="F92" s="19"/>
      <c r="G92" s="19"/>
      <c r="H92" s="19"/>
      <c r="I92" s="19"/>
      <c r="J92" s="19"/>
    </row>
    <row r="93" spans="1:10" ht="12" x14ac:dyDescent="0.2">
      <c r="A93" s="68" t="s">
        <v>509</v>
      </c>
      <c r="B93" s="46"/>
      <c r="C93" s="47"/>
      <c r="D93" s="45"/>
      <c r="E93" s="45"/>
      <c r="F93" s="44"/>
      <c r="G93" s="44"/>
      <c r="H93" s="44"/>
      <c r="I93" s="44"/>
      <c r="J93" s="44"/>
    </row>
    <row r="94" spans="1:10" x14ac:dyDescent="0.2">
      <c r="A94" s="7" t="s">
        <v>0</v>
      </c>
      <c r="B94" s="97">
        <f>VLOOKUP(A3,Data!A1:AQ88,39,FALSE)</f>
        <v>0</v>
      </c>
      <c r="C94" s="92" t="str">
        <f>IF(B94=0,"Does not meet prior year’s state performance and did not improve",
IF(B94=1,"Does not meet prior year’s state performance but improved since last year",
IF(B94=2,"Meets or exceeds prior year’s state performance",
IF(B94=3,"Meets or exceeds current state target",""))))</f>
        <v>Does not meet prior year’s state performance and did not improve</v>
      </c>
      <c r="D94" s="20"/>
      <c r="E94" s="20"/>
      <c r="F94" s="22"/>
      <c r="G94" s="20"/>
      <c r="H94" s="20"/>
      <c r="I94" s="20"/>
    </row>
    <row r="95" spans="1:10" ht="20.100000000000001" customHeight="1" x14ac:dyDescent="0.2">
      <c r="A95" s="38"/>
      <c r="B95" s="15"/>
      <c r="C95" s="16"/>
      <c r="D95" s="21"/>
      <c r="E95" s="21"/>
      <c r="F95" s="16"/>
      <c r="G95" s="16"/>
      <c r="H95" s="16"/>
      <c r="I95" s="16"/>
      <c r="J95" s="16"/>
    </row>
    <row r="96" spans="1:10" ht="11.25" customHeight="1" x14ac:dyDescent="0.2">
      <c r="A96" s="19"/>
      <c r="B96" s="43" t="s">
        <v>316</v>
      </c>
      <c r="C96" s="56">
        <v>0.4</v>
      </c>
      <c r="E96" s="23"/>
      <c r="F96" s="23"/>
      <c r="G96" s="23"/>
      <c r="H96" s="23"/>
      <c r="I96" s="23"/>
      <c r="J96" s="23"/>
    </row>
    <row r="97" spans="1:10" ht="11.25" customHeight="1" x14ac:dyDescent="0.2">
      <c r="A97" s="19"/>
      <c r="B97" s="43" t="s">
        <v>298</v>
      </c>
      <c r="C97" s="56">
        <v>0.29599999999999999</v>
      </c>
      <c r="E97" s="23"/>
      <c r="F97" s="23"/>
      <c r="G97" s="23"/>
      <c r="H97" s="23"/>
      <c r="I97" s="23"/>
      <c r="J97" s="23"/>
    </row>
    <row r="98" spans="1:10" ht="11.25" customHeight="1" x14ac:dyDescent="0.2">
      <c r="A98" s="19"/>
      <c r="B98" s="43" t="s">
        <v>299</v>
      </c>
      <c r="C98" s="56">
        <f>VLOOKUP(A3,Data!A1:AQ88,40,FALSE)</f>
        <v>0.28100000000000003</v>
      </c>
      <c r="E98" s="23"/>
      <c r="F98" s="23"/>
      <c r="G98" s="23"/>
      <c r="H98" s="23"/>
      <c r="I98" s="23"/>
      <c r="J98" s="23"/>
    </row>
    <row r="99" spans="1:10" ht="11.25" customHeight="1" x14ac:dyDescent="0.2">
      <c r="A99" s="19"/>
      <c r="B99" s="43" t="s">
        <v>466</v>
      </c>
      <c r="C99" s="56">
        <f>VLOOKUP(A3,Data!A1:AQ88,41,FALSE)</f>
        <v>0.19</v>
      </c>
      <c r="E99" s="23"/>
      <c r="F99" s="23"/>
      <c r="G99" s="23"/>
      <c r="H99" s="23"/>
      <c r="I99" s="23"/>
      <c r="J99" s="23"/>
    </row>
    <row r="100" spans="1:10" ht="11.25" customHeight="1" x14ac:dyDescent="0.2">
      <c r="A100" s="19"/>
      <c r="B100" s="19"/>
      <c r="C100" s="19"/>
      <c r="D100" s="19"/>
      <c r="E100" s="19"/>
      <c r="F100" s="19"/>
      <c r="G100" s="19"/>
      <c r="H100" s="19"/>
      <c r="I100" s="19"/>
      <c r="J100" s="19"/>
    </row>
    <row r="101" spans="1:10" ht="21.95" customHeight="1" x14ac:dyDescent="0.2">
      <c r="A101" s="48" t="s">
        <v>16</v>
      </c>
      <c r="B101" s="98">
        <f>SUM(B30,B38,B46,B54,B62,B70,B78,B86,B94)</f>
        <v>9</v>
      </c>
      <c r="C101" s="27"/>
      <c r="D101" s="26"/>
      <c r="E101" s="26"/>
      <c r="F101" s="28"/>
      <c r="G101" s="28"/>
      <c r="H101" s="28"/>
      <c r="I101" s="28"/>
      <c r="J101" s="28"/>
    </row>
    <row r="102" spans="1:10" s="14" customFormat="1" ht="21.95" customHeight="1" x14ac:dyDescent="0.25">
      <c r="A102" s="24" t="s">
        <v>100</v>
      </c>
      <c r="B102" s="24"/>
      <c r="C102" s="24"/>
      <c r="D102" s="24"/>
      <c r="E102" s="24"/>
      <c r="F102" s="24"/>
      <c r="G102" s="24"/>
      <c r="H102" s="24"/>
      <c r="I102" s="24"/>
      <c r="J102" s="24"/>
    </row>
    <row r="103" spans="1:10" ht="30" customHeight="1" x14ac:dyDescent="0.2">
      <c r="A103" s="34" t="s">
        <v>101</v>
      </c>
      <c r="B103" s="34" t="s">
        <v>102</v>
      </c>
      <c r="C103" s="34" t="s">
        <v>338</v>
      </c>
      <c r="D103" s="34" t="s">
        <v>319</v>
      </c>
      <c r="E103" s="34" t="s">
        <v>318</v>
      </c>
      <c r="F103" s="34" t="s">
        <v>485</v>
      </c>
      <c r="G103" s="35" t="s">
        <v>100</v>
      </c>
      <c r="H103" s="34"/>
      <c r="I103" s="34"/>
      <c r="J103" s="34"/>
    </row>
    <row r="104" spans="1:10" x14ac:dyDescent="0.2">
      <c r="A104" s="42">
        <f>B27</f>
        <v>18</v>
      </c>
      <c r="B104" s="99">
        <f>B101</f>
        <v>9</v>
      </c>
      <c r="C104" s="63">
        <f>VLOOKUP(A3,Data!A1:AQ88,42,FALSE)</f>
        <v>1</v>
      </c>
      <c r="D104" s="99">
        <f>SUM(A104:C104)</f>
        <v>28</v>
      </c>
      <c r="E104" s="63">
        <f>VLOOKUP(A3,Data!A1:AQ88,43,FALSE)</f>
        <v>40</v>
      </c>
      <c r="F104" s="33">
        <f>D104/E104</f>
        <v>0.7</v>
      </c>
      <c r="G104" s="62" t="str">
        <f>IF(F104&gt;=0.8,"Meets Requirement",
IF(F104&gt;=0.6,"Needs Assistance",
IF(F104&gt;=0.3,"Needs Assistance",
IF(F104&lt;0.3,"Needs Assistance","NA"))))</f>
        <v>Needs Assistance</v>
      </c>
    </row>
    <row r="105" spans="1:10" x14ac:dyDescent="0.2">
      <c r="A105" s="42"/>
      <c r="B105" s="42"/>
      <c r="C105" s="42"/>
      <c r="D105" s="42"/>
      <c r="E105" s="33"/>
    </row>
    <row r="106" spans="1:10" ht="14.25" x14ac:dyDescent="0.2">
      <c r="A106" s="24" t="s">
        <v>297</v>
      </c>
      <c r="B106" s="24"/>
      <c r="C106" s="24"/>
      <c r="D106" s="24"/>
      <c r="E106" s="24"/>
      <c r="F106" s="24"/>
      <c r="G106" s="24"/>
      <c r="H106" s="24"/>
      <c r="I106" s="24"/>
      <c r="J106" s="24"/>
    </row>
    <row r="107" spans="1:10" x14ac:dyDescent="0.2">
      <c r="A107" s="38" t="s">
        <v>321</v>
      </c>
      <c r="B107" s="38"/>
      <c r="C107" s="38"/>
      <c r="D107" s="38"/>
      <c r="E107" s="38"/>
      <c r="F107" s="38"/>
      <c r="G107" s="38"/>
      <c r="H107" s="38"/>
      <c r="I107" s="38"/>
      <c r="J107" s="38"/>
    </row>
    <row r="108" spans="1:10" x14ac:dyDescent="0.2">
      <c r="A108" s="38"/>
      <c r="B108" s="38"/>
      <c r="C108" s="38"/>
      <c r="D108" s="38"/>
      <c r="E108" s="38"/>
      <c r="F108" s="38"/>
      <c r="G108" s="38"/>
      <c r="H108" s="38"/>
      <c r="I108" s="38"/>
      <c r="J108" s="38"/>
    </row>
  </sheetData>
  <sheetProtection algorithmName="SHA-512" hashValue="zuOdYEA4i7L/MED0WzEOVcDl1iknexLuM7dz50QT0ljixRT3kD5q2kX15qKugJCmFJsFr31Bqo/j7vU7RldirA==" saltValue="Ev5GYr1zL3lBhZk+184DXQ=="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6"/>
  <dimension ref="A1:AR88"/>
  <sheetViews>
    <sheetView zoomScaleNormal="100" workbookViewId="0">
      <pane xSplit="1" ySplit="1" topLeftCell="B2" activePane="bottomRight" state="frozen"/>
      <selection pane="topRight" activeCell="B1" sqref="B1"/>
      <selection pane="bottomLeft" activeCell="A2" sqref="A2"/>
      <selection pane="bottomRight" activeCell="A3" sqref="A3"/>
    </sheetView>
  </sheetViews>
  <sheetFormatPr defaultRowHeight="15" x14ac:dyDescent="0.25"/>
  <cols>
    <col min="1" max="1" width="38.28515625" style="1" customWidth="1"/>
    <col min="2" max="2" width="47.85546875" style="2" bestFit="1" customWidth="1"/>
    <col min="3" max="3" width="19.5703125" style="2" customWidth="1"/>
    <col min="4" max="4" width="13.140625" style="2" bestFit="1" customWidth="1"/>
    <col min="5" max="5" width="11.28515625" style="1" bestFit="1" customWidth="1"/>
    <col min="6" max="14" width="5.7109375" style="84" customWidth="1"/>
    <col min="15" max="15" width="10.85546875" style="122" bestFit="1" customWidth="1"/>
    <col min="16" max="17" width="9.85546875" style="61" bestFit="1" customWidth="1"/>
    <col min="18" max="18" width="9.5703125" style="84" bestFit="1" customWidth="1"/>
    <col min="19" max="19" width="9.42578125" style="61" customWidth="1"/>
    <col min="20" max="20" width="9.42578125" style="61" bestFit="1" customWidth="1"/>
    <col min="21" max="21" width="9.42578125" style="124" customWidth="1"/>
    <col min="22" max="23" width="9.42578125" style="61" customWidth="1"/>
    <col min="24" max="24" width="10.28515625" style="84" bestFit="1" customWidth="1"/>
    <col min="25" max="25" width="11" style="84" customWidth="1"/>
    <col min="26" max="26" width="10" style="84" customWidth="1"/>
    <col min="27" max="27" width="10.28515625" style="124" bestFit="1" customWidth="1"/>
    <col min="28" max="28" width="10.28515625" style="84" bestFit="1" customWidth="1"/>
    <col min="29" max="29" width="10.28515625" style="61" bestFit="1" customWidth="1"/>
    <col min="30" max="32" width="8.7109375" style="61" bestFit="1" customWidth="1"/>
    <col min="33" max="33" width="7.85546875" style="84" bestFit="1" customWidth="1"/>
    <col min="34" max="35" width="7.85546875" style="61" bestFit="1" customWidth="1"/>
    <col min="36" max="36" width="9.85546875" style="84" bestFit="1" customWidth="1"/>
    <col min="37" max="38" width="9.85546875" style="61" bestFit="1" customWidth="1"/>
    <col min="39" max="39" width="8" style="84" bestFit="1" customWidth="1"/>
    <col min="40" max="41" width="8" style="85" bestFit="1" customWidth="1"/>
    <col min="42" max="42" width="8.85546875" style="102" bestFit="1" customWidth="1"/>
    <col min="43" max="43" width="8.42578125" style="61" bestFit="1" customWidth="1"/>
    <col min="44" max="16384" width="9.140625" style="1"/>
  </cols>
  <sheetData>
    <row r="1" spans="1:44" s="4" customFormat="1" ht="60" x14ac:dyDescent="0.25">
      <c r="A1" s="5" t="s">
        <v>293</v>
      </c>
      <c r="B1" s="4" t="s">
        <v>17</v>
      </c>
      <c r="C1" s="4" t="s">
        <v>18</v>
      </c>
      <c r="D1" s="4" t="s">
        <v>19</v>
      </c>
      <c r="E1" s="4" t="s">
        <v>20</v>
      </c>
      <c r="F1" s="57" t="s">
        <v>5</v>
      </c>
      <c r="G1" s="57" t="s">
        <v>6</v>
      </c>
      <c r="H1" s="57" t="s">
        <v>7</v>
      </c>
      <c r="I1" s="57" t="s">
        <v>8</v>
      </c>
      <c r="J1" s="57" t="s">
        <v>300</v>
      </c>
      <c r="K1" s="57" t="s">
        <v>330</v>
      </c>
      <c r="L1" s="57" t="s">
        <v>331</v>
      </c>
      <c r="M1" s="57" t="s">
        <v>490</v>
      </c>
      <c r="N1" s="57" t="s">
        <v>491</v>
      </c>
      <c r="O1" s="120" t="s">
        <v>533</v>
      </c>
      <c r="P1" s="4" t="s">
        <v>534</v>
      </c>
      <c r="Q1" s="4" t="s">
        <v>535</v>
      </c>
      <c r="R1" s="57" t="s">
        <v>510</v>
      </c>
      <c r="S1" s="4" t="s">
        <v>511</v>
      </c>
      <c r="T1" s="4" t="s">
        <v>512</v>
      </c>
      <c r="U1" s="123" t="s">
        <v>513</v>
      </c>
      <c r="V1" s="4" t="s">
        <v>514</v>
      </c>
      <c r="W1" s="4" t="s">
        <v>515</v>
      </c>
      <c r="X1" s="57" t="s">
        <v>516</v>
      </c>
      <c r="Y1" s="57" t="s">
        <v>517</v>
      </c>
      <c r="Z1" s="57" t="s">
        <v>517</v>
      </c>
      <c r="AA1" s="123" t="s">
        <v>518</v>
      </c>
      <c r="AB1" s="57" t="s">
        <v>519</v>
      </c>
      <c r="AC1" s="4" t="s">
        <v>520</v>
      </c>
      <c r="AD1" s="4" t="s">
        <v>521</v>
      </c>
      <c r="AE1" s="4" t="s">
        <v>522</v>
      </c>
      <c r="AF1" s="4" t="s">
        <v>523</v>
      </c>
      <c r="AG1" s="57" t="s">
        <v>524</v>
      </c>
      <c r="AH1" s="4" t="s">
        <v>525</v>
      </c>
      <c r="AI1" s="4" t="s">
        <v>526</v>
      </c>
      <c r="AJ1" s="57" t="s">
        <v>527</v>
      </c>
      <c r="AK1" s="4" t="s">
        <v>528</v>
      </c>
      <c r="AL1" s="4" t="s">
        <v>529</v>
      </c>
      <c r="AM1" s="57" t="s">
        <v>530</v>
      </c>
      <c r="AN1" s="83" t="s">
        <v>531</v>
      </c>
      <c r="AO1" s="83" t="s">
        <v>532</v>
      </c>
      <c r="AP1" s="101" t="s">
        <v>338</v>
      </c>
      <c r="AQ1" s="4" t="s">
        <v>318</v>
      </c>
    </row>
    <row r="2" spans="1:44" s="4" customFormat="1" x14ac:dyDescent="0.25">
      <c r="A2" s="5" t="s">
        <v>481</v>
      </c>
      <c r="O2" s="120"/>
      <c r="P2" s="59"/>
      <c r="Q2" s="59"/>
      <c r="R2" s="57"/>
      <c r="S2" s="59"/>
      <c r="T2" s="59"/>
      <c r="U2" s="96"/>
      <c r="V2" s="59"/>
      <c r="W2" s="59"/>
      <c r="X2" s="57"/>
      <c r="Y2" s="57"/>
      <c r="Z2" s="57"/>
      <c r="AA2" s="123"/>
      <c r="AB2" s="57"/>
      <c r="AC2" s="59"/>
      <c r="AD2" s="59"/>
      <c r="AE2" s="59"/>
      <c r="AF2" s="59"/>
      <c r="AG2" s="57"/>
      <c r="AH2" s="59"/>
      <c r="AI2" s="59"/>
      <c r="AJ2" s="57"/>
      <c r="AK2" s="59"/>
      <c r="AL2" s="59"/>
      <c r="AM2" s="57"/>
      <c r="AN2" s="58"/>
      <c r="AO2" s="58"/>
      <c r="AP2" s="101"/>
    </row>
    <row r="3" spans="1:44" s="4" customFormat="1" x14ac:dyDescent="0.25">
      <c r="A3" s="5" t="s">
        <v>482</v>
      </c>
      <c r="B3" s="5" t="s">
        <v>461</v>
      </c>
      <c r="C3" s="5" t="s">
        <v>243</v>
      </c>
      <c r="D3" s="5" t="s">
        <v>153</v>
      </c>
      <c r="E3" s="40">
        <v>29201</v>
      </c>
      <c r="F3" s="57">
        <v>2</v>
      </c>
      <c r="G3" s="57">
        <v>2</v>
      </c>
      <c r="H3" s="57">
        <v>1</v>
      </c>
      <c r="I3" s="57">
        <v>2</v>
      </c>
      <c r="J3" s="57">
        <v>1</v>
      </c>
      <c r="K3" s="57">
        <v>1</v>
      </c>
      <c r="L3" s="57">
        <v>2</v>
      </c>
      <c r="M3" s="57">
        <v>2</v>
      </c>
      <c r="N3" s="57">
        <v>2</v>
      </c>
      <c r="O3" s="121">
        <v>2</v>
      </c>
      <c r="P3" s="58">
        <v>0.51619999999999999</v>
      </c>
      <c r="Q3" s="58">
        <v>0.55549999999999999</v>
      </c>
      <c r="R3" s="96">
        <v>1</v>
      </c>
      <c r="S3" s="58">
        <v>0.18479999999999999</v>
      </c>
      <c r="T3" s="58">
        <v>0.19309999999999999</v>
      </c>
      <c r="U3" s="96">
        <v>1</v>
      </c>
      <c r="V3" s="58">
        <v>9.35E-2</v>
      </c>
      <c r="W3" s="58">
        <v>9.6100000000000005E-2</v>
      </c>
      <c r="X3" s="96">
        <v>0.5</v>
      </c>
      <c r="Y3" s="58">
        <v>0.18</v>
      </c>
      <c r="Z3" s="58">
        <v>0.18360000000000001</v>
      </c>
      <c r="AA3" s="96">
        <v>0</v>
      </c>
      <c r="AB3" s="58">
        <v>7.4200000000000002E-2</v>
      </c>
      <c r="AC3" s="58">
        <v>6.5600000000000006E-2</v>
      </c>
      <c r="AD3" s="59">
        <v>2</v>
      </c>
      <c r="AE3" s="58">
        <v>0.63959999999999995</v>
      </c>
      <c r="AF3" s="58">
        <v>0.64070000000000005</v>
      </c>
      <c r="AG3" s="59">
        <v>3</v>
      </c>
      <c r="AH3" s="58">
        <v>1</v>
      </c>
      <c r="AI3" s="58">
        <v>1</v>
      </c>
      <c r="AJ3" s="59">
        <v>2</v>
      </c>
      <c r="AK3" s="58">
        <v>7.5200000000000003E-2</v>
      </c>
      <c r="AL3" s="58">
        <v>0.156</v>
      </c>
      <c r="AM3" s="59">
        <v>2</v>
      </c>
      <c r="AN3" s="58">
        <v>0.21199999999999999</v>
      </c>
      <c r="AO3" s="58">
        <v>0.29599999999999999</v>
      </c>
      <c r="AP3" s="101">
        <v>1</v>
      </c>
      <c r="AQ3" s="4">
        <v>40</v>
      </c>
    </row>
    <row r="4" spans="1:44" x14ac:dyDescent="0.25">
      <c r="A4" s="1" t="s">
        <v>22</v>
      </c>
      <c r="B4" s="5" t="s">
        <v>154</v>
      </c>
      <c r="C4" s="2" t="s">
        <v>22</v>
      </c>
      <c r="D4" s="2" t="s">
        <v>153</v>
      </c>
      <c r="E4" s="3">
        <v>29620</v>
      </c>
      <c r="F4" s="59">
        <v>2</v>
      </c>
      <c r="G4" s="59">
        <v>2</v>
      </c>
      <c r="H4" s="59">
        <v>2</v>
      </c>
      <c r="I4" s="59">
        <v>2</v>
      </c>
      <c r="J4" s="59">
        <v>2</v>
      </c>
      <c r="K4" s="59">
        <v>1</v>
      </c>
      <c r="L4" s="59">
        <v>2</v>
      </c>
      <c r="M4" s="59">
        <v>2</v>
      </c>
      <c r="N4" s="59">
        <v>2</v>
      </c>
      <c r="O4" s="121">
        <v>3</v>
      </c>
      <c r="P4" s="58">
        <v>0.45</v>
      </c>
      <c r="Q4" s="58">
        <v>0.70830000000000004</v>
      </c>
      <c r="R4" s="96">
        <v>1.5</v>
      </c>
      <c r="S4" s="58">
        <v>0.25</v>
      </c>
      <c r="T4" s="58">
        <v>0.42420000000000002</v>
      </c>
      <c r="U4" s="96">
        <v>0</v>
      </c>
      <c r="V4" s="58">
        <v>0.18179999999999999</v>
      </c>
      <c r="W4" s="58">
        <v>7.6899999999999996E-2</v>
      </c>
      <c r="X4" s="96">
        <v>1.5</v>
      </c>
      <c r="Y4" s="58">
        <v>0.24390000000000001</v>
      </c>
      <c r="Z4" s="58">
        <v>0.36359999999999998</v>
      </c>
      <c r="AA4" s="96">
        <v>1.5</v>
      </c>
      <c r="AB4" s="58">
        <v>0.125</v>
      </c>
      <c r="AC4" s="58">
        <v>0.26919999999999999</v>
      </c>
      <c r="AD4" s="59">
        <v>2</v>
      </c>
      <c r="AE4" s="58">
        <v>0.72750000000000004</v>
      </c>
      <c r="AF4" s="58">
        <v>0.64829999999999999</v>
      </c>
      <c r="AG4" s="59">
        <v>3</v>
      </c>
      <c r="AH4" s="58">
        <v>1</v>
      </c>
      <c r="AI4" s="58">
        <v>1</v>
      </c>
      <c r="AJ4" s="59">
        <v>2</v>
      </c>
      <c r="AK4" s="58">
        <v>0.13489999999999999</v>
      </c>
      <c r="AL4" s="58">
        <v>0.13919999999999999</v>
      </c>
      <c r="AM4" s="59">
        <v>0</v>
      </c>
      <c r="AN4" s="58">
        <v>0.27300000000000002</v>
      </c>
      <c r="AO4" s="58">
        <v>0.23799999999999999</v>
      </c>
      <c r="AP4" s="101">
        <v>1</v>
      </c>
      <c r="AQ4" s="4">
        <v>40</v>
      </c>
      <c r="AR4" s="4"/>
    </row>
    <row r="5" spans="1:44" x14ac:dyDescent="0.25">
      <c r="A5" s="1" t="s">
        <v>24</v>
      </c>
      <c r="B5" s="2" t="s">
        <v>155</v>
      </c>
      <c r="C5" s="2" t="s">
        <v>24</v>
      </c>
      <c r="D5" s="2" t="s">
        <v>153</v>
      </c>
      <c r="E5" s="3">
        <v>29803</v>
      </c>
      <c r="F5" s="59">
        <v>2</v>
      </c>
      <c r="G5" s="59">
        <v>2</v>
      </c>
      <c r="H5" s="59">
        <v>2</v>
      </c>
      <c r="I5" s="59">
        <v>2</v>
      </c>
      <c r="J5" s="59">
        <v>1</v>
      </c>
      <c r="K5" s="59">
        <v>2</v>
      </c>
      <c r="L5" s="59">
        <v>1</v>
      </c>
      <c r="M5" s="59">
        <v>2</v>
      </c>
      <c r="N5" s="59">
        <v>2</v>
      </c>
      <c r="O5" s="121">
        <v>0</v>
      </c>
      <c r="P5" s="58">
        <v>0.3805</v>
      </c>
      <c r="Q5" s="58">
        <v>9.5200000000000007E-2</v>
      </c>
      <c r="R5" s="96">
        <v>0.5</v>
      </c>
      <c r="S5" s="58">
        <v>0.11899999999999999</v>
      </c>
      <c r="T5" s="58">
        <v>0.125</v>
      </c>
      <c r="U5" s="96">
        <v>0.5</v>
      </c>
      <c r="V5" s="58">
        <v>6.9900000000000004E-2</v>
      </c>
      <c r="W5" s="58">
        <v>7.1400000000000005E-2</v>
      </c>
      <c r="X5" s="96">
        <v>0.5</v>
      </c>
      <c r="Y5" s="58">
        <v>9.2899999999999996E-2</v>
      </c>
      <c r="Z5" s="58">
        <v>0.13639999999999999</v>
      </c>
      <c r="AA5" s="96">
        <v>0.5</v>
      </c>
      <c r="AB5" s="58">
        <v>3.4500000000000003E-2</v>
      </c>
      <c r="AC5" s="58">
        <v>5.8599999999999999E-2</v>
      </c>
      <c r="AD5" s="59">
        <v>2</v>
      </c>
      <c r="AE5" s="58">
        <v>0.67169999999999996</v>
      </c>
      <c r="AF5" s="58">
        <v>0.69189999999999996</v>
      </c>
      <c r="AG5" s="59">
        <v>3</v>
      </c>
      <c r="AH5" s="58">
        <v>1</v>
      </c>
      <c r="AI5" s="58">
        <v>1</v>
      </c>
      <c r="AJ5" s="59">
        <v>2</v>
      </c>
      <c r="AK5" s="58">
        <v>0.13289999999999999</v>
      </c>
      <c r="AL5" s="58">
        <v>0.12239999999999999</v>
      </c>
      <c r="AM5" s="59">
        <v>1</v>
      </c>
      <c r="AN5" s="58">
        <v>0.185</v>
      </c>
      <c r="AO5" s="58">
        <v>0.252</v>
      </c>
      <c r="AP5" s="101">
        <v>1</v>
      </c>
      <c r="AQ5" s="4">
        <v>40</v>
      </c>
      <c r="AR5" s="4"/>
    </row>
    <row r="6" spans="1:44" x14ac:dyDescent="0.25">
      <c r="A6" s="1" t="s">
        <v>25</v>
      </c>
      <c r="B6" s="2" t="s">
        <v>156</v>
      </c>
      <c r="C6" s="2" t="s">
        <v>230</v>
      </c>
      <c r="D6" s="2" t="s">
        <v>153</v>
      </c>
      <c r="E6" s="3">
        <v>29827</v>
      </c>
      <c r="F6" s="59">
        <v>2</v>
      </c>
      <c r="G6" s="59">
        <v>2</v>
      </c>
      <c r="H6" s="59">
        <v>1</v>
      </c>
      <c r="I6" s="59">
        <v>2</v>
      </c>
      <c r="J6" s="59">
        <v>2</v>
      </c>
      <c r="K6" s="59">
        <v>2</v>
      </c>
      <c r="L6" s="59">
        <v>2</v>
      </c>
      <c r="M6" s="59">
        <v>1</v>
      </c>
      <c r="N6" s="59">
        <v>2</v>
      </c>
      <c r="O6" s="121">
        <v>0</v>
      </c>
      <c r="P6" s="58">
        <v>0.83330000000000004</v>
      </c>
      <c r="Q6" s="58">
        <v>0.2</v>
      </c>
      <c r="R6" s="96">
        <v>0</v>
      </c>
      <c r="S6" s="58">
        <v>0.2</v>
      </c>
      <c r="T6" s="58">
        <v>0</v>
      </c>
      <c r="U6" s="96">
        <v>1.5</v>
      </c>
      <c r="V6" s="58">
        <v>0</v>
      </c>
      <c r="W6" s="58">
        <v>0.16669999999999999</v>
      </c>
      <c r="X6" s="96">
        <v>0</v>
      </c>
      <c r="Y6" s="58">
        <v>0.4</v>
      </c>
      <c r="Z6" s="58">
        <v>0</v>
      </c>
      <c r="AA6" s="96">
        <v>0</v>
      </c>
      <c r="AB6" s="58">
        <v>0</v>
      </c>
      <c r="AC6" s="58">
        <v>0</v>
      </c>
      <c r="AD6" s="59">
        <v>2</v>
      </c>
      <c r="AE6" s="58">
        <v>0.62749999999999995</v>
      </c>
      <c r="AF6" s="58">
        <v>0.66320000000000001</v>
      </c>
      <c r="AG6" s="59">
        <v>3</v>
      </c>
      <c r="AH6" s="58">
        <v>1</v>
      </c>
      <c r="AI6" s="58">
        <v>1</v>
      </c>
      <c r="AJ6" s="59">
        <v>0</v>
      </c>
      <c r="AK6" s="58">
        <v>5.8799999999999998E-2</v>
      </c>
      <c r="AL6" s="58">
        <v>0.28999999999999998</v>
      </c>
      <c r="AM6" s="59">
        <v>1</v>
      </c>
      <c r="AN6" s="58">
        <v>0.125</v>
      </c>
      <c r="AO6" s="58">
        <v>0.2</v>
      </c>
      <c r="AP6" s="101">
        <v>1</v>
      </c>
      <c r="AQ6" s="4">
        <v>40</v>
      </c>
      <c r="AR6" s="4"/>
    </row>
    <row r="7" spans="1:44" x14ac:dyDescent="0.25">
      <c r="A7" s="1" t="s">
        <v>26</v>
      </c>
      <c r="B7" s="2" t="s">
        <v>157</v>
      </c>
      <c r="C7" s="2" t="s">
        <v>231</v>
      </c>
      <c r="D7" s="2" t="s">
        <v>153</v>
      </c>
      <c r="E7" s="3">
        <v>29697</v>
      </c>
      <c r="F7" s="59">
        <v>2</v>
      </c>
      <c r="G7" s="59">
        <v>2</v>
      </c>
      <c r="H7" s="59">
        <v>2</v>
      </c>
      <c r="I7" s="59">
        <v>2</v>
      </c>
      <c r="J7" s="59">
        <v>2</v>
      </c>
      <c r="K7" s="59">
        <v>2</v>
      </c>
      <c r="L7" s="59">
        <v>1</v>
      </c>
      <c r="M7" s="59">
        <v>2</v>
      </c>
      <c r="N7" s="59">
        <v>2</v>
      </c>
      <c r="O7" s="121">
        <v>2</v>
      </c>
      <c r="P7" s="58">
        <v>0.62350000000000005</v>
      </c>
      <c r="Q7" s="58">
        <v>0.65590000000000004</v>
      </c>
      <c r="R7" s="96">
        <v>1.5</v>
      </c>
      <c r="S7" s="58">
        <v>0.24490000000000001</v>
      </c>
      <c r="T7" s="58">
        <v>0.34029999999999999</v>
      </c>
      <c r="U7" s="96">
        <v>1</v>
      </c>
      <c r="V7" s="58">
        <v>0.1462</v>
      </c>
      <c r="W7" s="58">
        <v>0.13850000000000001</v>
      </c>
      <c r="X7" s="96">
        <v>1.5</v>
      </c>
      <c r="Y7" s="58">
        <v>0.30409999999999998</v>
      </c>
      <c r="Z7" s="58">
        <v>0.39579999999999999</v>
      </c>
      <c r="AA7" s="96">
        <v>1.5</v>
      </c>
      <c r="AB7" s="58">
        <v>0.15379999999999999</v>
      </c>
      <c r="AC7" s="58">
        <v>0.1308</v>
      </c>
      <c r="AD7" s="59">
        <v>2</v>
      </c>
      <c r="AE7" s="58">
        <v>0.66830000000000001</v>
      </c>
      <c r="AF7" s="58">
        <v>0.69689999999999996</v>
      </c>
      <c r="AG7" s="59">
        <v>3</v>
      </c>
      <c r="AH7" s="58">
        <v>1</v>
      </c>
      <c r="AI7" s="58">
        <v>1</v>
      </c>
      <c r="AJ7" s="59">
        <v>3</v>
      </c>
      <c r="AK7" s="58">
        <v>8.9099999999999999E-2</v>
      </c>
      <c r="AL7" s="58">
        <v>8.6699999999999999E-2</v>
      </c>
      <c r="AM7" s="59">
        <v>3</v>
      </c>
      <c r="AN7" s="58">
        <v>0.33700000000000002</v>
      </c>
      <c r="AO7" s="58">
        <v>0.52900000000000003</v>
      </c>
      <c r="AP7" s="101">
        <v>1</v>
      </c>
      <c r="AQ7" s="4">
        <v>40</v>
      </c>
      <c r="AR7" s="4"/>
    </row>
    <row r="8" spans="1:44" x14ac:dyDescent="0.25">
      <c r="A8" s="1" t="s">
        <v>27</v>
      </c>
      <c r="B8" s="2" t="s">
        <v>158</v>
      </c>
      <c r="C8" s="2" t="s">
        <v>232</v>
      </c>
      <c r="D8" s="2" t="s">
        <v>153</v>
      </c>
      <c r="E8" s="3">
        <v>29654</v>
      </c>
      <c r="F8" s="59">
        <v>2</v>
      </c>
      <c r="G8" s="59">
        <v>2</v>
      </c>
      <c r="H8" s="59">
        <v>2</v>
      </c>
      <c r="I8" s="59">
        <v>2</v>
      </c>
      <c r="J8" s="59">
        <v>1</v>
      </c>
      <c r="K8" s="59">
        <v>2</v>
      </c>
      <c r="L8" s="59">
        <v>2</v>
      </c>
      <c r="M8" s="59">
        <v>2</v>
      </c>
      <c r="N8" s="59">
        <v>2</v>
      </c>
      <c r="O8" s="121">
        <v>2</v>
      </c>
      <c r="P8" s="58">
        <v>0.66669999999999996</v>
      </c>
      <c r="Q8" s="58">
        <v>0.59089999999999998</v>
      </c>
      <c r="R8" s="96">
        <v>1.5</v>
      </c>
      <c r="S8" s="58">
        <v>0.27779999999999999</v>
      </c>
      <c r="T8" s="58">
        <v>0.3871</v>
      </c>
      <c r="U8" s="96">
        <v>1</v>
      </c>
      <c r="V8" s="58">
        <v>0.29549999999999998</v>
      </c>
      <c r="W8" s="58">
        <v>0.1212</v>
      </c>
      <c r="X8" s="96">
        <v>1.5</v>
      </c>
      <c r="Y8" s="58">
        <v>0.25</v>
      </c>
      <c r="Z8" s="58">
        <v>0.3226</v>
      </c>
      <c r="AA8" s="96">
        <v>1.5</v>
      </c>
      <c r="AB8" s="58">
        <v>0.28889999999999999</v>
      </c>
      <c r="AC8" s="58">
        <v>0.1515</v>
      </c>
      <c r="AD8" s="59">
        <v>3</v>
      </c>
      <c r="AE8" s="58">
        <v>0.76739999999999997</v>
      </c>
      <c r="AF8" s="58">
        <v>0.77680000000000005</v>
      </c>
      <c r="AG8" s="59">
        <v>3</v>
      </c>
      <c r="AH8" s="58">
        <v>1</v>
      </c>
      <c r="AI8" s="58">
        <v>1</v>
      </c>
      <c r="AJ8" s="59">
        <v>2</v>
      </c>
      <c r="AK8" s="58">
        <v>7.3599999999999999E-2</v>
      </c>
      <c r="AL8" s="58">
        <v>0.12809999999999999</v>
      </c>
      <c r="AM8" s="59">
        <v>2</v>
      </c>
      <c r="AN8" s="58">
        <v>0.45200000000000001</v>
      </c>
      <c r="AO8" s="58">
        <v>0.38500000000000001</v>
      </c>
      <c r="AP8" s="101">
        <v>1</v>
      </c>
      <c r="AQ8" s="4">
        <v>40</v>
      </c>
      <c r="AR8" s="4"/>
    </row>
    <row r="9" spans="1:44" x14ac:dyDescent="0.25">
      <c r="A9" s="1" t="s">
        <v>28</v>
      </c>
      <c r="B9" s="2" t="s">
        <v>159</v>
      </c>
      <c r="C9" s="2" t="s">
        <v>233</v>
      </c>
      <c r="D9" s="2" t="s">
        <v>153</v>
      </c>
      <c r="E9" s="3">
        <v>29655</v>
      </c>
      <c r="F9" s="59">
        <v>2</v>
      </c>
      <c r="G9" s="59">
        <v>2</v>
      </c>
      <c r="H9" s="59">
        <v>2</v>
      </c>
      <c r="I9" s="59">
        <v>2</v>
      </c>
      <c r="J9" s="59">
        <v>2</v>
      </c>
      <c r="K9" s="59">
        <v>2</v>
      </c>
      <c r="L9" s="59">
        <v>2</v>
      </c>
      <c r="M9" s="59">
        <v>2</v>
      </c>
      <c r="N9" s="59">
        <v>2</v>
      </c>
      <c r="O9" s="121">
        <v>2</v>
      </c>
      <c r="P9" s="58">
        <v>0.35289999999999999</v>
      </c>
      <c r="Q9" s="58">
        <v>0.53849999999999998</v>
      </c>
      <c r="R9" s="96">
        <v>1.5</v>
      </c>
      <c r="S9" s="58">
        <v>0.3256</v>
      </c>
      <c r="T9" s="58">
        <v>0.3448</v>
      </c>
      <c r="U9" s="96">
        <v>1</v>
      </c>
      <c r="V9" s="58">
        <v>6.9000000000000006E-2</v>
      </c>
      <c r="W9" s="58">
        <v>9.3799999999999994E-2</v>
      </c>
      <c r="X9" s="96">
        <v>1.5</v>
      </c>
      <c r="Y9" s="58">
        <v>0.30230000000000001</v>
      </c>
      <c r="Z9" s="58">
        <v>0.3448</v>
      </c>
      <c r="AA9" s="96">
        <v>1</v>
      </c>
      <c r="AB9" s="58">
        <v>0</v>
      </c>
      <c r="AC9" s="58">
        <v>9.3799999999999994E-2</v>
      </c>
      <c r="AD9" s="59">
        <v>3</v>
      </c>
      <c r="AE9" s="58">
        <v>0.69230000000000003</v>
      </c>
      <c r="AF9" s="58">
        <v>0.71899999999999997</v>
      </c>
      <c r="AG9" s="59">
        <v>3</v>
      </c>
      <c r="AH9" s="58">
        <v>1</v>
      </c>
      <c r="AI9" s="58">
        <v>1</v>
      </c>
      <c r="AJ9" s="59">
        <v>0</v>
      </c>
      <c r="AK9" s="58">
        <v>0.10059999999999999</v>
      </c>
      <c r="AL9" s="58">
        <v>0.15679999999999999</v>
      </c>
      <c r="AM9" s="59">
        <v>3</v>
      </c>
      <c r="AN9" s="58">
        <v>0.13300000000000001</v>
      </c>
      <c r="AO9" s="58">
        <v>0.5</v>
      </c>
      <c r="AP9" s="101">
        <v>1</v>
      </c>
      <c r="AQ9" s="4">
        <v>40</v>
      </c>
      <c r="AR9" s="4"/>
    </row>
    <row r="10" spans="1:44" x14ac:dyDescent="0.25">
      <c r="A10" s="1" t="s">
        <v>29</v>
      </c>
      <c r="B10" s="2" t="s">
        <v>160</v>
      </c>
      <c r="C10" s="2" t="s">
        <v>234</v>
      </c>
      <c r="D10" s="2" t="s">
        <v>153</v>
      </c>
      <c r="E10" s="3">
        <v>29670</v>
      </c>
      <c r="F10" s="59">
        <v>2</v>
      </c>
      <c r="G10" s="59">
        <v>2</v>
      </c>
      <c r="H10" s="59">
        <v>2</v>
      </c>
      <c r="I10" s="59">
        <v>2</v>
      </c>
      <c r="J10" s="59">
        <v>2</v>
      </c>
      <c r="K10" s="59">
        <v>2</v>
      </c>
      <c r="L10" s="59">
        <v>2</v>
      </c>
      <c r="M10" s="59">
        <v>2</v>
      </c>
      <c r="N10" s="59">
        <v>2</v>
      </c>
      <c r="O10" s="121">
        <v>2</v>
      </c>
      <c r="P10" s="58">
        <v>0.68289999999999995</v>
      </c>
      <c r="Q10" s="58">
        <v>0.63639999999999997</v>
      </c>
      <c r="R10" s="96">
        <v>1.5</v>
      </c>
      <c r="S10" s="58">
        <v>0.3871</v>
      </c>
      <c r="T10" s="58">
        <v>0.26469999999999999</v>
      </c>
      <c r="U10" s="96">
        <v>1</v>
      </c>
      <c r="V10" s="58">
        <v>0.375</v>
      </c>
      <c r="W10" s="58">
        <v>0.1071</v>
      </c>
      <c r="X10" s="96">
        <v>0</v>
      </c>
      <c r="Y10" s="58">
        <v>0.4194</v>
      </c>
      <c r="Z10" s="58">
        <v>0.2059</v>
      </c>
      <c r="AA10" s="96">
        <v>0</v>
      </c>
      <c r="AB10" s="58">
        <v>0.2258</v>
      </c>
      <c r="AC10" s="58">
        <v>3.5700000000000003E-2</v>
      </c>
      <c r="AD10" s="59">
        <v>3</v>
      </c>
      <c r="AE10" s="58">
        <v>0.75680000000000003</v>
      </c>
      <c r="AF10" s="58">
        <v>0.7571</v>
      </c>
      <c r="AG10" s="59">
        <v>3</v>
      </c>
      <c r="AH10" s="58">
        <v>1</v>
      </c>
      <c r="AI10" s="58">
        <v>1</v>
      </c>
      <c r="AJ10" s="59">
        <v>3</v>
      </c>
      <c r="AK10" s="58">
        <v>7.6200000000000004E-2</v>
      </c>
      <c r="AL10" s="58">
        <v>4.7500000000000001E-2</v>
      </c>
      <c r="AM10" s="59">
        <v>2</v>
      </c>
      <c r="AN10" s="58">
        <v>0.24399999999999999</v>
      </c>
      <c r="AO10" s="58">
        <v>0.32300000000000001</v>
      </c>
      <c r="AP10" s="101">
        <v>1</v>
      </c>
      <c r="AQ10" s="4">
        <v>40</v>
      </c>
      <c r="AR10" s="4"/>
    </row>
    <row r="11" spans="1:44" x14ac:dyDescent="0.25">
      <c r="A11" s="1" t="s">
        <v>30</v>
      </c>
      <c r="B11" s="2" t="s">
        <v>161</v>
      </c>
      <c r="C11" s="2" t="s">
        <v>235</v>
      </c>
      <c r="D11" s="2" t="s">
        <v>153</v>
      </c>
      <c r="E11" s="3">
        <v>29625</v>
      </c>
      <c r="F11" s="59">
        <v>2</v>
      </c>
      <c r="G11" s="59">
        <v>2</v>
      </c>
      <c r="H11" s="59">
        <v>2</v>
      </c>
      <c r="I11" s="59">
        <v>2</v>
      </c>
      <c r="J11" s="59">
        <v>1</v>
      </c>
      <c r="K11" s="59">
        <v>2</v>
      </c>
      <c r="L11" s="59">
        <v>2</v>
      </c>
      <c r="M11" s="59">
        <v>2</v>
      </c>
      <c r="N11" s="59">
        <v>2</v>
      </c>
      <c r="O11" s="121">
        <v>0</v>
      </c>
      <c r="P11" s="58">
        <v>0.58819999999999995</v>
      </c>
      <c r="Q11" s="58">
        <v>0.45540000000000003</v>
      </c>
      <c r="R11" s="96">
        <v>1</v>
      </c>
      <c r="S11" s="58">
        <v>0.2515</v>
      </c>
      <c r="T11" s="58">
        <v>0.24440000000000001</v>
      </c>
      <c r="U11" s="96">
        <v>0.5</v>
      </c>
      <c r="V11" s="58">
        <v>6.3500000000000001E-2</v>
      </c>
      <c r="W11" s="58">
        <v>6.9599999999999995E-2</v>
      </c>
      <c r="X11" s="96">
        <v>1</v>
      </c>
      <c r="Y11" s="58">
        <v>0.2455</v>
      </c>
      <c r="Z11" s="58">
        <v>0.21110000000000001</v>
      </c>
      <c r="AA11" s="96">
        <v>0</v>
      </c>
      <c r="AB11" s="58">
        <v>0.12</v>
      </c>
      <c r="AC11" s="58">
        <v>6.9599999999999995E-2</v>
      </c>
      <c r="AD11" s="59">
        <v>3</v>
      </c>
      <c r="AE11" s="58">
        <v>0.67090000000000005</v>
      </c>
      <c r="AF11" s="58">
        <v>0.71240000000000003</v>
      </c>
      <c r="AG11" s="59">
        <v>3</v>
      </c>
      <c r="AH11" s="58">
        <v>1</v>
      </c>
      <c r="AI11" s="58">
        <v>1</v>
      </c>
      <c r="AJ11" s="59">
        <v>2</v>
      </c>
      <c r="AK11" s="58">
        <v>6.9699999999999998E-2</v>
      </c>
      <c r="AL11" s="58">
        <v>0.14599999999999999</v>
      </c>
      <c r="AM11" s="59">
        <v>1</v>
      </c>
      <c r="AN11" s="58">
        <v>0.154</v>
      </c>
      <c r="AO11" s="58">
        <v>0.23200000000000001</v>
      </c>
      <c r="AP11" s="101">
        <v>1</v>
      </c>
      <c r="AQ11" s="4">
        <v>40</v>
      </c>
      <c r="AR11" s="4"/>
    </row>
    <row r="12" spans="1:44" x14ac:dyDescent="0.25">
      <c r="A12" s="1" t="s">
        <v>31</v>
      </c>
      <c r="B12" s="2" t="s">
        <v>162</v>
      </c>
      <c r="C12" s="2" t="s">
        <v>236</v>
      </c>
      <c r="D12" s="2" t="s">
        <v>153</v>
      </c>
      <c r="E12" s="3">
        <v>29003</v>
      </c>
      <c r="F12" s="59">
        <v>2</v>
      </c>
      <c r="G12" s="59">
        <v>2</v>
      </c>
      <c r="H12" s="59">
        <v>2</v>
      </c>
      <c r="I12" s="59">
        <v>2</v>
      </c>
      <c r="J12" s="59">
        <v>2</v>
      </c>
      <c r="K12" s="59">
        <v>2</v>
      </c>
      <c r="L12" s="59">
        <v>2</v>
      </c>
      <c r="M12" s="59">
        <v>2</v>
      </c>
      <c r="N12" s="59">
        <v>2</v>
      </c>
      <c r="O12" s="121">
        <v>2</v>
      </c>
      <c r="P12" s="58">
        <v>0.71430000000000005</v>
      </c>
      <c r="Q12" s="58">
        <v>0.53849999999999998</v>
      </c>
      <c r="R12" s="96">
        <v>0</v>
      </c>
      <c r="S12" s="58">
        <v>0</v>
      </c>
      <c r="T12" s="58">
        <v>0</v>
      </c>
      <c r="U12" s="96">
        <v>1</v>
      </c>
      <c r="V12" s="58">
        <v>0</v>
      </c>
      <c r="W12" s="58">
        <v>0.1111</v>
      </c>
      <c r="X12" s="96">
        <v>0</v>
      </c>
      <c r="Y12" s="58">
        <v>0</v>
      </c>
      <c r="Z12" s="58">
        <v>0</v>
      </c>
      <c r="AA12" s="96">
        <v>1.5</v>
      </c>
      <c r="AB12" s="58">
        <v>0.1111</v>
      </c>
      <c r="AC12" s="58">
        <v>0.22220000000000001</v>
      </c>
      <c r="AD12" s="59">
        <v>2</v>
      </c>
      <c r="AE12" s="58">
        <v>0.72299999999999998</v>
      </c>
      <c r="AF12" s="58">
        <v>0.63770000000000004</v>
      </c>
      <c r="AG12" s="59">
        <v>3</v>
      </c>
      <c r="AH12" s="58">
        <v>1</v>
      </c>
      <c r="AI12" s="58">
        <v>1</v>
      </c>
      <c r="AJ12" s="59">
        <v>2</v>
      </c>
      <c r="AK12" s="58">
        <v>4.0500000000000001E-2</v>
      </c>
      <c r="AL12" s="58">
        <v>0.1081</v>
      </c>
      <c r="AM12" s="59">
        <v>1</v>
      </c>
      <c r="AN12" s="58">
        <v>6.7000000000000004E-2</v>
      </c>
      <c r="AO12" s="58">
        <v>8.3000000000000004E-2</v>
      </c>
      <c r="AP12" s="101">
        <v>1</v>
      </c>
      <c r="AQ12" s="4">
        <v>40</v>
      </c>
      <c r="AR12" s="4"/>
    </row>
    <row r="13" spans="1:44" x14ac:dyDescent="0.25">
      <c r="A13" s="1" t="s">
        <v>32</v>
      </c>
      <c r="B13" s="2" t="s">
        <v>163</v>
      </c>
      <c r="C13" s="2" t="s">
        <v>237</v>
      </c>
      <c r="D13" s="2" t="s">
        <v>153</v>
      </c>
      <c r="E13" s="3">
        <v>29042</v>
      </c>
      <c r="F13" s="59">
        <v>2</v>
      </c>
      <c r="G13" s="59">
        <v>2</v>
      </c>
      <c r="H13" s="59">
        <v>2</v>
      </c>
      <c r="I13" s="59">
        <v>2</v>
      </c>
      <c r="J13" s="59">
        <v>2</v>
      </c>
      <c r="K13" s="59">
        <v>2</v>
      </c>
      <c r="L13" s="59">
        <v>2</v>
      </c>
      <c r="M13" s="59">
        <v>2</v>
      </c>
      <c r="N13" s="59">
        <v>2</v>
      </c>
      <c r="O13" s="121">
        <v>0</v>
      </c>
      <c r="P13" s="58">
        <v>0.66669999999999996</v>
      </c>
      <c r="Q13" s="58">
        <v>0.2</v>
      </c>
      <c r="R13" s="96">
        <v>0</v>
      </c>
      <c r="S13" s="58">
        <v>5.8799999999999998E-2</v>
      </c>
      <c r="T13" s="58">
        <v>0</v>
      </c>
      <c r="U13" s="96">
        <v>0</v>
      </c>
      <c r="V13" s="58">
        <v>0.15379999999999999</v>
      </c>
      <c r="W13" s="58">
        <v>9.0899999999999995E-2</v>
      </c>
      <c r="X13" s="96">
        <v>0</v>
      </c>
      <c r="Y13" s="58">
        <v>5.2600000000000001E-2</v>
      </c>
      <c r="Z13" s="58">
        <v>0</v>
      </c>
      <c r="AA13" s="96">
        <v>1</v>
      </c>
      <c r="AB13" s="58">
        <v>6.6699999999999995E-2</v>
      </c>
      <c r="AC13" s="58">
        <v>9.0899999999999995E-2</v>
      </c>
      <c r="AD13" s="59">
        <v>0</v>
      </c>
      <c r="AE13" s="58">
        <v>0.47749999999999998</v>
      </c>
      <c r="AF13" s="58">
        <v>0.42109999999999997</v>
      </c>
      <c r="AG13" s="59">
        <v>3</v>
      </c>
      <c r="AH13" s="58">
        <v>1</v>
      </c>
      <c r="AI13" s="58">
        <v>1</v>
      </c>
      <c r="AJ13" s="59">
        <v>0</v>
      </c>
      <c r="AK13" s="58">
        <v>8.1100000000000005E-2</v>
      </c>
      <c r="AL13" s="58">
        <v>0.25259999999999999</v>
      </c>
      <c r="AM13" s="59">
        <v>1</v>
      </c>
      <c r="AN13" s="58">
        <v>0</v>
      </c>
      <c r="AO13" s="58">
        <v>0.25</v>
      </c>
      <c r="AP13" s="101">
        <v>1</v>
      </c>
      <c r="AQ13" s="4">
        <v>40</v>
      </c>
      <c r="AR13" s="4"/>
    </row>
    <row r="14" spans="1:44" x14ac:dyDescent="0.25">
      <c r="A14" s="1" t="s">
        <v>33</v>
      </c>
      <c r="B14" s="2" t="s">
        <v>164</v>
      </c>
      <c r="C14" s="2" t="s">
        <v>238</v>
      </c>
      <c r="D14" s="2" t="s">
        <v>153</v>
      </c>
      <c r="E14" s="3">
        <v>29817</v>
      </c>
      <c r="F14" s="59">
        <v>2</v>
      </c>
      <c r="G14" s="59">
        <v>2</v>
      </c>
      <c r="H14" s="59">
        <v>2</v>
      </c>
      <c r="I14" s="59">
        <v>2</v>
      </c>
      <c r="J14" s="59">
        <v>2</v>
      </c>
      <c r="K14" s="59">
        <v>2</v>
      </c>
      <c r="L14" s="59">
        <v>2</v>
      </c>
      <c r="M14" s="59">
        <v>2</v>
      </c>
      <c r="N14" s="59">
        <v>2</v>
      </c>
      <c r="O14" s="121">
        <v>2</v>
      </c>
      <c r="P14" s="58">
        <v>0</v>
      </c>
      <c r="Q14" s="58">
        <v>0.66669999999999996</v>
      </c>
      <c r="R14" s="96">
        <v>0.5</v>
      </c>
      <c r="S14" s="58">
        <v>0</v>
      </c>
      <c r="T14" s="58">
        <v>0.16669999999999999</v>
      </c>
      <c r="U14" s="96">
        <v>0</v>
      </c>
      <c r="V14" s="58">
        <v>0</v>
      </c>
      <c r="W14" s="58">
        <v>0</v>
      </c>
      <c r="X14" s="96">
        <v>0</v>
      </c>
      <c r="Y14" s="58">
        <v>0</v>
      </c>
      <c r="Z14" s="58">
        <v>0</v>
      </c>
      <c r="AA14" s="96">
        <v>1</v>
      </c>
      <c r="AB14" s="58">
        <v>0</v>
      </c>
      <c r="AC14" s="58">
        <v>9.0899999999999995E-2</v>
      </c>
      <c r="AD14" s="59">
        <v>3</v>
      </c>
      <c r="AE14" s="58">
        <v>0.89159999999999995</v>
      </c>
      <c r="AF14" s="58">
        <v>0.92220000000000002</v>
      </c>
      <c r="AG14" s="59">
        <v>3</v>
      </c>
      <c r="AH14" s="58">
        <v>1</v>
      </c>
      <c r="AI14" s="58">
        <v>1</v>
      </c>
      <c r="AJ14" s="59">
        <v>0</v>
      </c>
      <c r="AK14" s="58">
        <v>0</v>
      </c>
      <c r="AL14" s="58">
        <v>0.3085</v>
      </c>
      <c r="AM14" s="59">
        <v>3</v>
      </c>
      <c r="AN14" s="58">
        <v>0.25</v>
      </c>
      <c r="AO14" s="58">
        <v>0.4</v>
      </c>
      <c r="AP14" s="101">
        <v>1</v>
      </c>
      <c r="AQ14" s="4">
        <v>40</v>
      </c>
      <c r="AR14" s="4"/>
    </row>
    <row r="15" spans="1:44" x14ac:dyDescent="0.25">
      <c r="A15" s="1" t="s">
        <v>34</v>
      </c>
      <c r="B15" s="2" t="s">
        <v>165</v>
      </c>
      <c r="C15" s="2" t="s">
        <v>239</v>
      </c>
      <c r="D15" s="2" t="s">
        <v>153</v>
      </c>
      <c r="E15" s="3">
        <v>29853</v>
      </c>
      <c r="F15" s="59">
        <v>2</v>
      </c>
      <c r="G15" s="59">
        <v>2</v>
      </c>
      <c r="H15" s="59">
        <v>2</v>
      </c>
      <c r="I15" s="59">
        <v>2</v>
      </c>
      <c r="J15" s="59">
        <v>2</v>
      </c>
      <c r="K15" s="59">
        <v>2</v>
      </c>
      <c r="L15" s="59">
        <v>2</v>
      </c>
      <c r="M15" s="59">
        <v>2</v>
      </c>
      <c r="N15" s="59">
        <v>2</v>
      </c>
      <c r="O15" s="121">
        <v>0</v>
      </c>
      <c r="P15" s="58">
        <v>0.8</v>
      </c>
      <c r="Q15" s="58">
        <v>0</v>
      </c>
      <c r="R15" s="96">
        <v>0</v>
      </c>
      <c r="S15" s="58">
        <v>0.33329999999999999</v>
      </c>
      <c r="T15" s="58">
        <v>0</v>
      </c>
      <c r="U15" s="96">
        <v>1</v>
      </c>
      <c r="V15" s="58">
        <v>0</v>
      </c>
      <c r="W15" s="58">
        <v>0.1</v>
      </c>
      <c r="X15" s="96">
        <v>1.5</v>
      </c>
      <c r="Y15" s="58">
        <v>0</v>
      </c>
      <c r="Z15" s="58">
        <v>0.25</v>
      </c>
      <c r="AA15" s="96">
        <v>0</v>
      </c>
      <c r="AB15" s="58">
        <v>0.16669999999999999</v>
      </c>
      <c r="AC15" s="58">
        <v>0</v>
      </c>
      <c r="AD15" s="59">
        <v>3</v>
      </c>
      <c r="AE15" s="58">
        <v>0.87839999999999996</v>
      </c>
      <c r="AF15" s="58">
        <v>0.73909999999999998</v>
      </c>
      <c r="AG15" s="59">
        <v>3</v>
      </c>
      <c r="AH15" s="58">
        <v>1</v>
      </c>
      <c r="AI15" s="58">
        <v>1</v>
      </c>
      <c r="AJ15" s="59">
        <v>0</v>
      </c>
      <c r="AK15" s="58">
        <v>8.1100000000000005E-2</v>
      </c>
      <c r="AL15" s="58">
        <v>0.21429999999999999</v>
      </c>
      <c r="AM15" s="59">
        <v>3</v>
      </c>
      <c r="AN15" s="58">
        <v>0.76900000000000002</v>
      </c>
      <c r="AO15" s="58">
        <v>0.8</v>
      </c>
      <c r="AP15" s="101">
        <v>1</v>
      </c>
      <c r="AQ15" s="4">
        <v>40</v>
      </c>
      <c r="AR15" s="4"/>
    </row>
    <row r="16" spans="1:44" x14ac:dyDescent="0.25">
      <c r="A16" s="1" t="s">
        <v>35</v>
      </c>
      <c r="B16" s="2" t="s">
        <v>166</v>
      </c>
      <c r="C16" s="2" t="s">
        <v>240</v>
      </c>
      <c r="D16" s="2" t="s">
        <v>153</v>
      </c>
      <c r="E16" s="3">
        <v>29812</v>
      </c>
      <c r="F16" s="59">
        <v>2</v>
      </c>
      <c r="G16" s="59">
        <v>2</v>
      </c>
      <c r="H16" s="59">
        <v>2</v>
      </c>
      <c r="I16" s="59">
        <v>2</v>
      </c>
      <c r="J16" s="59">
        <v>2</v>
      </c>
      <c r="K16" s="59">
        <v>2</v>
      </c>
      <c r="L16" s="59">
        <v>2</v>
      </c>
      <c r="M16" s="59">
        <v>2</v>
      </c>
      <c r="N16" s="59">
        <v>2</v>
      </c>
      <c r="O16" s="121">
        <v>2</v>
      </c>
      <c r="P16" s="58">
        <v>0.57889999999999997</v>
      </c>
      <c r="Q16" s="58">
        <v>0.6875</v>
      </c>
      <c r="R16" s="96">
        <v>0</v>
      </c>
      <c r="S16" s="58">
        <v>0.13789999999999999</v>
      </c>
      <c r="T16" s="58">
        <v>0.1351</v>
      </c>
      <c r="U16" s="96">
        <v>1.5</v>
      </c>
      <c r="V16" s="58">
        <v>4.7600000000000003E-2</v>
      </c>
      <c r="W16" s="58">
        <v>0.23080000000000001</v>
      </c>
      <c r="X16" s="96">
        <v>0.5</v>
      </c>
      <c r="Y16" s="58">
        <v>0.1724</v>
      </c>
      <c r="Z16" s="58">
        <v>0.18920000000000001</v>
      </c>
      <c r="AA16" s="96">
        <v>1</v>
      </c>
      <c r="AB16" s="58">
        <v>0.24</v>
      </c>
      <c r="AC16" s="58">
        <v>8.6999999999999994E-2</v>
      </c>
      <c r="AD16" s="59">
        <v>2</v>
      </c>
      <c r="AE16" s="58">
        <v>0.67700000000000005</v>
      </c>
      <c r="AF16" s="58">
        <v>0.63639999999999997</v>
      </c>
      <c r="AG16" s="59">
        <v>3</v>
      </c>
      <c r="AH16" s="58">
        <v>1</v>
      </c>
      <c r="AI16" s="58">
        <v>1</v>
      </c>
      <c r="AJ16" s="59">
        <v>2</v>
      </c>
      <c r="AK16" s="58">
        <v>5.5899999999999998E-2</v>
      </c>
      <c r="AL16" s="58">
        <v>0.15079999999999999</v>
      </c>
      <c r="AM16" s="59">
        <v>0</v>
      </c>
      <c r="AN16" s="58">
        <v>0.308</v>
      </c>
      <c r="AO16" s="58">
        <v>0.27600000000000002</v>
      </c>
      <c r="AP16" s="101">
        <v>1</v>
      </c>
      <c r="AQ16" s="4">
        <v>40</v>
      </c>
      <c r="AR16" s="4"/>
    </row>
    <row r="17" spans="1:44" x14ac:dyDescent="0.25">
      <c r="A17" s="1" t="s">
        <v>36</v>
      </c>
      <c r="B17" s="2" t="s">
        <v>167</v>
      </c>
      <c r="C17" s="2" t="s">
        <v>36</v>
      </c>
      <c r="D17" s="2" t="s">
        <v>153</v>
      </c>
      <c r="E17" s="3">
        <v>29902</v>
      </c>
      <c r="F17" s="59">
        <v>2</v>
      </c>
      <c r="G17" s="59">
        <v>2</v>
      </c>
      <c r="H17" s="59">
        <v>2</v>
      </c>
      <c r="I17" s="59">
        <v>2</v>
      </c>
      <c r="J17" s="59">
        <v>2</v>
      </c>
      <c r="K17" s="59">
        <v>2</v>
      </c>
      <c r="L17" s="59">
        <v>2</v>
      </c>
      <c r="M17" s="59">
        <v>2</v>
      </c>
      <c r="N17" s="59">
        <v>2</v>
      </c>
      <c r="O17" s="121">
        <v>3</v>
      </c>
      <c r="P17" s="58">
        <v>0.63370000000000004</v>
      </c>
      <c r="Q17" s="58">
        <v>0.75219999999999998</v>
      </c>
      <c r="R17" s="96">
        <v>1</v>
      </c>
      <c r="S17" s="58">
        <v>0.23710000000000001</v>
      </c>
      <c r="T17" s="58">
        <v>0.21</v>
      </c>
      <c r="U17" s="96">
        <v>1</v>
      </c>
      <c r="V17" s="58">
        <v>7.3800000000000004E-2</v>
      </c>
      <c r="W17" s="58">
        <v>0.1077</v>
      </c>
      <c r="X17" s="96">
        <v>1.5</v>
      </c>
      <c r="Y17" s="58">
        <v>0.1759</v>
      </c>
      <c r="Z17" s="58">
        <v>0.24429999999999999</v>
      </c>
      <c r="AA17" s="96">
        <v>1</v>
      </c>
      <c r="AB17" s="58">
        <v>0.05</v>
      </c>
      <c r="AC17" s="58">
        <v>8.72E-2</v>
      </c>
      <c r="AD17" s="59">
        <v>2</v>
      </c>
      <c r="AE17" s="58">
        <v>0.65249999999999997</v>
      </c>
      <c r="AF17" s="58">
        <v>0.63780000000000003</v>
      </c>
      <c r="AG17" s="59">
        <v>3</v>
      </c>
      <c r="AH17" s="58">
        <v>1</v>
      </c>
      <c r="AI17" s="58">
        <v>1</v>
      </c>
      <c r="AJ17" s="59">
        <v>0</v>
      </c>
      <c r="AK17" s="58">
        <v>6.59E-2</v>
      </c>
      <c r="AL17" s="58">
        <v>0.1603</v>
      </c>
      <c r="AM17" s="59">
        <v>2</v>
      </c>
      <c r="AN17" s="58">
        <v>0.375</v>
      </c>
      <c r="AO17" s="58">
        <v>0.39500000000000002</v>
      </c>
      <c r="AP17" s="101">
        <v>1</v>
      </c>
      <c r="AQ17" s="4">
        <v>40</v>
      </c>
      <c r="AR17" s="4"/>
    </row>
    <row r="18" spans="1:44" x14ac:dyDescent="0.25">
      <c r="A18" s="1" t="s">
        <v>37</v>
      </c>
      <c r="B18" s="2" t="s">
        <v>168</v>
      </c>
      <c r="C18" s="2" t="s">
        <v>241</v>
      </c>
      <c r="D18" s="2" t="s">
        <v>153</v>
      </c>
      <c r="E18" s="3">
        <v>29461</v>
      </c>
      <c r="F18" s="59">
        <v>2</v>
      </c>
      <c r="G18" s="59">
        <v>2</v>
      </c>
      <c r="H18" s="59">
        <v>2</v>
      </c>
      <c r="I18" s="59">
        <v>2</v>
      </c>
      <c r="J18" s="59">
        <v>1</v>
      </c>
      <c r="K18" s="59">
        <v>1</v>
      </c>
      <c r="L18" s="59">
        <v>2</v>
      </c>
      <c r="M18" s="59">
        <v>2</v>
      </c>
      <c r="N18" s="59">
        <v>2</v>
      </c>
      <c r="O18" s="121">
        <v>1</v>
      </c>
      <c r="P18" s="58">
        <v>0.52259999999999995</v>
      </c>
      <c r="Q18" s="58">
        <v>0.53480000000000005</v>
      </c>
      <c r="R18" s="96">
        <v>0.5</v>
      </c>
      <c r="S18" s="58">
        <v>0.1479</v>
      </c>
      <c r="T18" s="58">
        <v>0.16550000000000001</v>
      </c>
      <c r="U18" s="96">
        <v>1</v>
      </c>
      <c r="V18" s="58">
        <v>0.1429</v>
      </c>
      <c r="W18" s="58">
        <v>0.13300000000000001</v>
      </c>
      <c r="X18" s="96">
        <v>0</v>
      </c>
      <c r="Y18" s="58">
        <v>0.1573</v>
      </c>
      <c r="Z18" s="58">
        <v>0.13619999999999999</v>
      </c>
      <c r="AA18" s="96">
        <v>0</v>
      </c>
      <c r="AB18" s="58">
        <v>0.11700000000000001</v>
      </c>
      <c r="AC18" s="58">
        <v>7.1800000000000003E-2</v>
      </c>
      <c r="AD18" s="59">
        <v>1</v>
      </c>
      <c r="AE18" s="58">
        <v>0.4194</v>
      </c>
      <c r="AF18" s="58">
        <v>0.47260000000000002</v>
      </c>
      <c r="AG18" s="59">
        <v>3</v>
      </c>
      <c r="AH18" s="58">
        <v>1</v>
      </c>
      <c r="AI18" s="58">
        <v>1</v>
      </c>
      <c r="AJ18" s="59">
        <v>0</v>
      </c>
      <c r="AK18" s="58">
        <v>7.2700000000000001E-2</v>
      </c>
      <c r="AL18" s="58">
        <v>0.16300000000000001</v>
      </c>
      <c r="AM18" s="59">
        <v>1</v>
      </c>
      <c r="AN18" s="58">
        <v>6.7000000000000004E-2</v>
      </c>
      <c r="AO18" s="58">
        <v>0.13700000000000001</v>
      </c>
      <c r="AP18" s="101">
        <v>1</v>
      </c>
      <c r="AQ18" s="4">
        <v>40</v>
      </c>
      <c r="AR18" s="4"/>
    </row>
    <row r="19" spans="1:44" x14ac:dyDescent="0.25">
      <c r="A19" s="1" t="s">
        <v>38</v>
      </c>
      <c r="B19" s="2" t="s">
        <v>169</v>
      </c>
      <c r="C19" s="2" t="s">
        <v>242</v>
      </c>
      <c r="D19" s="2" t="s">
        <v>153</v>
      </c>
      <c r="E19" s="3">
        <v>29135</v>
      </c>
      <c r="F19" s="59">
        <v>2</v>
      </c>
      <c r="G19" s="59">
        <v>2</v>
      </c>
      <c r="H19" s="59">
        <v>1</v>
      </c>
      <c r="I19" s="59">
        <v>2</v>
      </c>
      <c r="J19" s="59">
        <v>2</v>
      </c>
      <c r="K19" s="59">
        <v>2</v>
      </c>
      <c r="L19" s="59">
        <v>2</v>
      </c>
      <c r="M19" s="59">
        <v>2</v>
      </c>
      <c r="N19" s="59">
        <v>2</v>
      </c>
      <c r="O19" s="121">
        <v>2</v>
      </c>
      <c r="P19" s="58">
        <v>0.52170000000000005</v>
      </c>
      <c r="Q19" s="58">
        <v>0.66669999999999996</v>
      </c>
      <c r="R19" s="96">
        <v>0.5</v>
      </c>
      <c r="S19" s="58">
        <v>0</v>
      </c>
      <c r="T19" s="58">
        <v>8.3299999999999999E-2</v>
      </c>
      <c r="U19" s="96">
        <v>0</v>
      </c>
      <c r="V19" s="58">
        <v>0.1053</v>
      </c>
      <c r="W19" s="58">
        <v>4.5499999999999999E-2</v>
      </c>
      <c r="X19" s="96">
        <v>0.5</v>
      </c>
      <c r="Y19" s="58">
        <v>0</v>
      </c>
      <c r="Z19" s="58">
        <v>4.1700000000000001E-2</v>
      </c>
      <c r="AA19" s="96">
        <v>1</v>
      </c>
      <c r="AB19" s="58">
        <v>0.1053</v>
      </c>
      <c r="AC19" s="58">
        <v>9.0899999999999995E-2</v>
      </c>
      <c r="AD19" s="59">
        <v>0</v>
      </c>
      <c r="AE19" s="58">
        <v>0.4556</v>
      </c>
      <c r="AF19" s="58">
        <v>0.40429999999999999</v>
      </c>
      <c r="AG19" s="59">
        <v>3</v>
      </c>
      <c r="AH19" s="58">
        <v>1</v>
      </c>
      <c r="AI19" s="58">
        <v>1</v>
      </c>
      <c r="AJ19" s="59">
        <v>0</v>
      </c>
      <c r="AK19" s="58">
        <v>3.2300000000000002E-2</v>
      </c>
      <c r="AL19" s="58">
        <v>0.1583</v>
      </c>
      <c r="AM19" s="59">
        <v>2</v>
      </c>
      <c r="AN19" s="58">
        <v>0.26300000000000001</v>
      </c>
      <c r="AO19" s="58">
        <v>0.33300000000000002</v>
      </c>
      <c r="AP19" s="101">
        <v>1</v>
      </c>
      <c r="AQ19" s="4">
        <v>40</v>
      </c>
      <c r="AR19" s="4"/>
    </row>
    <row r="20" spans="1:44" x14ac:dyDescent="0.25">
      <c r="A20" s="1" t="s">
        <v>39</v>
      </c>
      <c r="B20" s="2" t="s">
        <v>170</v>
      </c>
      <c r="C20" s="2" t="s">
        <v>39</v>
      </c>
      <c r="D20" s="2" t="s">
        <v>153</v>
      </c>
      <c r="E20" s="3">
        <v>29401</v>
      </c>
      <c r="F20" s="59">
        <v>2</v>
      </c>
      <c r="G20" s="59">
        <v>2</v>
      </c>
      <c r="H20" s="59">
        <v>2</v>
      </c>
      <c r="I20" s="59">
        <v>2</v>
      </c>
      <c r="J20" s="59">
        <v>1</v>
      </c>
      <c r="K20" s="59">
        <v>2</v>
      </c>
      <c r="L20" s="59">
        <v>2</v>
      </c>
      <c r="M20" s="59">
        <v>2</v>
      </c>
      <c r="N20" s="59">
        <v>2</v>
      </c>
      <c r="O20" s="121">
        <v>0</v>
      </c>
      <c r="P20" s="58">
        <v>0.54500000000000004</v>
      </c>
      <c r="Q20" s="58">
        <v>0.3836</v>
      </c>
      <c r="R20" s="96">
        <v>0.5</v>
      </c>
      <c r="S20" s="58">
        <v>0.15429999999999999</v>
      </c>
      <c r="T20" s="58">
        <v>0.15840000000000001</v>
      </c>
      <c r="U20" s="96">
        <v>0</v>
      </c>
      <c r="V20" s="58">
        <v>0.1011</v>
      </c>
      <c r="W20" s="58">
        <v>8.9300000000000004E-2</v>
      </c>
      <c r="X20" s="96">
        <v>0</v>
      </c>
      <c r="Y20" s="58">
        <v>0.16489999999999999</v>
      </c>
      <c r="Z20" s="58">
        <v>0.16309999999999999</v>
      </c>
      <c r="AA20" s="96">
        <v>0</v>
      </c>
      <c r="AB20" s="58">
        <v>8.7300000000000003E-2</v>
      </c>
      <c r="AC20" s="58">
        <v>6.1199999999999997E-2</v>
      </c>
      <c r="AD20" s="59">
        <v>2</v>
      </c>
      <c r="AE20" s="58">
        <v>0.62990000000000002</v>
      </c>
      <c r="AF20" s="58">
        <v>0.63560000000000005</v>
      </c>
      <c r="AG20" s="59">
        <v>3</v>
      </c>
      <c r="AH20" s="58">
        <v>1</v>
      </c>
      <c r="AI20" s="58">
        <v>1</v>
      </c>
      <c r="AJ20" s="59">
        <v>2</v>
      </c>
      <c r="AK20" s="58">
        <v>8.0100000000000005E-2</v>
      </c>
      <c r="AL20" s="58">
        <v>0.1411</v>
      </c>
      <c r="AM20" s="59">
        <v>2</v>
      </c>
      <c r="AN20" s="58">
        <v>0.20499999999999999</v>
      </c>
      <c r="AO20" s="58">
        <v>0.30499999999999999</v>
      </c>
      <c r="AP20" s="101">
        <v>1</v>
      </c>
      <c r="AQ20" s="4">
        <v>40</v>
      </c>
      <c r="AR20" s="4"/>
    </row>
    <row r="21" spans="1:44" x14ac:dyDescent="0.25">
      <c r="A21" s="1" t="s">
        <v>40</v>
      </c>
      <c r="B21" s="2" t="s">
        <v>171</v>
      </c>
      <c r="C21" s="2" t="s">
        <v>243</v>
      </c>
      <c r="D21" s="2" t="s">
        <v>153</v>
      </c>
      <c r="E21" s="3">
        <v>29201</v>
      </c>
      <c r="F21" s="59">
        <v>2</v>
      </c>
      <c r="G21" s="59">
        <v>2</v>
      </c>
      <c r="H21" s="59">
        <v>2</v>
      </c>
      <c r="I21" s="59">
        <v>2</v>
      </c>
      <c r="J21" s="59">
        <v>1</v>
      </c>
      <c r="K21" s="59">
        <v>2</v>
      </c>
      <c r="L21" s="59">
        <v>2</v>
      </c>
      <c r="M21" s="59">
        <v>2</v>
      </c>
      <c r="N21" s="59">
        <v>2</v>
      </c>
      <c r="O21" s="121">
        <v>3</v>
      </c>
      <c r="P21" s="58">
        <v>0.81730000000000003</v>
      </c>
      <c r="Q21" s="58">
        <v>0.85709999999999997</v>
      </c>
      <c r="R21" s="96">
        <v>0</v>
      </c>
      <c r="S21" s="58">
        <v>0.2316</v>
      </c>
      <c r="T21" s="58">
        <v>0.17119999999999999</v>
      </c>
      <c r="U21" s="96">
        <v>1</v>
      </c>
      <c r="V21" s="58">
        <v>0.125</v>
      </c>
      <c r="W21" s="58">
        <v>0.13159999999999999</v>
      </c>
      <c r="X21" s="96">
        <v>0</v>
      </c>
      <c r="Y21" s="58">
        <v>0.18090000000000001</v>
      </c>
      <c r="Z21" s="58">
        <v>0.1036</v>
      </c>
      <c r="AA21" s="96">
        <v>0</v>
      </c>
      <c r="AB21" s="58">
        <v>6.8199999999999997E-2</v>
      </c>
      <c r="AC21" s="58">
        <v>5.6000000000000001E-2</v>
      </c>
      <c r="AD21" s="59">
        <v>3</v>
      </c>
      <c r="AE21" s="58">
        <v>0.83460000000000001</v>
      </c>
      <c r="AF21" s="58">
        <v>0.79830000000000001</v>
      </c>
      <c r="AG21" s="59">
        <v>3</v>
      </c>
      <c r="AH21" s="58">
        <v>1</v>
      </c>
      <c r="AI21" s="58">
        <v>1</v>
      </c>
      <c r="AJ21" s="59">
        <v>3</v>
      </c>
      <c r="AK21" s="58">
        <v>2.35E-2</v>
      </c>
      <c r="AL21" s="58">
        <v>3.6299999999999999E-2</v>
      </c>
      <c r="AM21" s="59">
        <v>1</v>
      </c>
      <c r="AN21" s="58">
        <v>0.28399999999999997</v>
      </c>
      <c r="AO21" s="58">
        <v>0.29299999999999998</v>
      </c>
      <c r="AP21" s="101">
        <v>1</v>
      </c>
      <c r="AQ21" s="4">
        <v>40</v>
      </c>
      <c r="AR21" s="4"/>
    </row>
    <row r="22" spans="1:44" x14ac:dyDescent="0.25">
      <c r="A22" s="1" t="s">
        <v>41</v>
      </c>
      <c r="B22" s="2" t="s">
        <v>172</v>
      </c>
      <c r="C22" s="2" t="s">
        <v>244</v>
      </c>
      <c r="D22" s="2" t="s">
        <v>153</v>
      </c>
      <c r="E22" s="3">
        <v>29342</v>
      </c>
      <c r="F22" s="59">
        <v>2</v>
      </c>
      <c r="G22" s="59">
        <v>2</v>
      </c>
      <c r="H22" s="59">
        <v>2</v>
      </c>
      <c r="I22" s="59">
        <v>2</v>
      </c>
      <c r="J22" s="59">
        <v>1</v>
      </c>
      <c r="K22" s="59">
        <v>2</v>
      </c>
      <c r="L22" s="59">
        <v>2</v>
      </c>
      <c r="M22" s="59">
        <v>2</v>
      </c>
      <c r="N22" s="59">
        <v>2</v>
      </c>
      <c r="O22" s="121">
        <v>0</v>
      </c>
      <c r="P22" s="58">
        <v>0.60470000000000002</v>
      </c>
      <c r="Q22" s="58">
        <v>0.51470000000000005</v>
      </c>
      <c r="R22" s="96">
        <v>1</v>
      </c>
      <c r="S22" s="58">
        <v>0.16489999999999999</v>
      </c>
      <c r="T22" s="58">
        <v>0.2</v>
      </c>
      <c r="U22" s="96">
        <v>0.5</v>
      </c>
      <c r="V22" s="58">
        <v>1.2699999999999999E-2</v>
      </c>
      <c r="W22" s="58">
        <v>4.8800000000000003E-2</v>
      </c>
      <c r="X22" s="96">
        <v>0</v>
      </c>
      <c r="Y22" s="58">
        <v>0.125</v>
      </c>
      <c r="Z22" s="58">
        <v>0.1099</v>
      </c>
      <c r="AA22" s="96">
        <v>0.5</v>
      </c>
      <c r="AB22" s="58">
        <v>1.2500000000000001E-2</v>
      </c>
      <c r="AC22" s="58">
        <v>3.6600000000000001E-2</v>
      </c>
      <c r="AD22" s="59">
        <v>1</v>
      </c>
      <c r="AE22" s="58">
        <v>0.61750000000000005</v>
      </c>
      <c r="AF22" s="58">
        <v>0.62309999999999999</v>
      </c>
      <c r="AG22" s="59">
        <v>3</v>
      </c>
      <c r="AH22" s="58">
        <v>1</v>
      </c>
      <c r="AI22" s="58">
        <v>1</v>
      </c>
      <c r="AJ22" s="59">
        <v>0</v>
      </c>
      <c r="AK22" s="58">
        <v>0.1225</v>
      </c>
      <c r="AL22" s="58">
        <v>0.19700000000000001</v>
      </c>
      <c r="AM22" s="59">
        <v>2</v>
      </c>
      <c r="AN22" s="58">
        <v>0.29899999999999999</v>
      </c>
      <c r="AO22" s="58">
        <v>0.31900000000000001</v>
      </c>
      <c r="AP22" s="101">
        <v>1</v>
      </c>
      <c r="AQ22" s="4">
        <v>40</v>
      </c>
      <c r="AR22" s="4"/>
    </row>
    <row r="23" spans="1:44" x14ac:dyDescent="0.25">
      <c r="A23" s="1" t="s">
        <v>42</v>
      </c>
      <c r="B23" s="2" t="s">
        <v>173</v>
      </c>
      <c r="C23" s="2" t="s">
        <v>42</v>
      </c>
      <c r="D23" s="2" t="s">
        <v>153</v>
      </c>
      <c r="E23" s="3">
        <v>29706</v>
      </c>
      <c r="F23" s="59">
        <v>2</v>
      </c>
      <c r="G23" s="59">
        <v>2</v>
      </c>
      <c r="H23" s="59">
        <v>2</v>
      </c>
      <c r="I23" s="59">
        <v>2</v>
      </c>
      <c r="J23" s="59">
        <v>2</v>
      </c>
      <c r="K23" s="59">
        <v>2</v>
      </c>
      <c r="L23" s="59">
        <v>2</v>
      </c>
      <c r="M23" s="59">
        <v>2</v>
      </c>
      <c r="N23" s="59">
        <v>2</v>
      </c>
      <c r="O23" s="121">
        <v>2</v>
      </c>
      <c r="P23" s="58">
        <v>0.61539999999999995</v>
      </c>
      <c r="Q23" s="58">
        <v>0.68520000000000003</v>
      </c>
      <c r="R23" s="96">
        <v>0.5</v>
      </c>
      <c r="S23" s="58">
        <v>8.3299999999999999E-2</v>
      </c>
      <c r="T23" s="58">
        <v>0.1159</v>
      </c>
      <c r="U23" s="96">
        <v>0.5</v>
      </c>
      <c r="V23" s="58">
        <v>1.8200000000000001E-2</v>
      </c>
      <c r="W23" s="58">
        <v>5.2600000000000001E-2</v>
      </c>
      <c r="X23" s="96">
        <v>0.5</v>
      </c>
      <c r="Y23" s="58">
        <v>8.2199999999999995E-2</v>
      </c>
      <c r="Z23" s="58">
        <v>0.1739</v>
      </c>
      <c r="AA23" s="96">
        <v>0.5</v>
      </c>
      <c r="AB23" s="58">
        <v>1.8200000000000001E-2</v>
      </c>
      <c r="AC23" s="58">
        <v>3.4500000000000003E-2</v>
      </c>
      <c r="AD23" s="59">
        <v>3</v>
      </c>
      <c r="AE23" s="58">
        <v>0.8075</v>
      </c>
      <c r="AF23" s="58">
        <v>0.82499999999999996</v>
      </c>
      <c r="AG23" s="59">
        <v>3</v>
      </c>
      <c r="AH23" s="58">
        <v>1</v>
      </c>
      <c r="AI23" s="58">
        <v>1</v>
      </c>
      <c r="AJ23" s="59">
        <v>3</v>
      </c>
      <c r="AK23" s="58">
        <v>2.7300000000000001E-2</v>
      </c>
      <c r="AL23" s="58">
        <v>8.72E-2</v>
      </c>
      <c r="AM23" s="59">
        <v>0</v>
      </c>
      <c r="AN23" s="58">
        <v>0.27300000000000002</v>
      </c>
      <c r="AO23" s="58">
        <v>0.20799999999999999</v>
      </c>
      <c r="AP23" s="101">
        <v>1</v>
      </c>
      <c r="AQ23" s="4">
        <v>40</v>
      </c>
      <c r="AR23" s="4"/>
    </row>
    <row r="24" spans="1:44" x14ac:dyDescent="0.25">
      <c r="A24" s="1" t="s">
        <v>43</v>
      </c>
      <c r="B24" s="2" t="s">
        <v>174</v>
      </c>
      <c r="C24" s="2" t="s">
        <v>43</v>
      </c>
      <c r="D24" s="2" t="s">
        <v>153</v>
      </c>
      <c r="E24" s="3">
        <v>29709</v>
      </c>
      <c r="F24" s="59">
        <v>2</v>
      </c>
      <c r="G24" s="59">
        <v>2</v>
      </c>
      <c r="H24" s="59">
        <v>2</v>
      </c>
      <c r="I24" s="59">
        <v>2</v>
      </c>
      <c r="J24" s="59">
        <v>2</v>
      </c>
      <c r="K24" s="59">
        <v>2</v>
      </c>
      <c r="L24" s="59">
        <v>2</v>
      </c>
      <c r="M24" s="59">
        <v>2</v>
      </c>
      <c r="N24" s="59">
        <v>2</v>
      </c>
      <c r="O24" s="121">
        <v>0</v>
      </c>
      <c r="P24" s="58">
        <v>0.48649999999999999</v>
      </c>
      <c r="Q24" s="58">
        <v>0.41860000000000003</v>
      </c>
      <c r="R24" s="96">
        <v>0</v>
      </c>
      <c r="S24" s="58">
        <v>0.15709999999999999</v>
      </c>
      <c r="T24" s="58">
        <v>0.1014</v>
      </c>
      <c r="U24" s="96">
        <v>1</v>
      </c>
      <c r="V24" s="58">
        <v>3.5700000000000003E-2</v>
      </c>
      <c r="W24" s="58">
        <v>0.1176</v>
      </c>
      <c r="X24" s="96">
        <v>0</v>
      </c>
      <c r="Y24" s="58">
        <v>0.1714</v>
      </c>
      <c r="Z24" s="58">
        <v>0.1159</v>
      </c>
      <c r="AA24" s="96">
        <v>0.5</v>
      </c>
      <c r="AB24" s="58">
        <v>3.5099999999999999E-2</v>
      </c>
      <c r="AC24" s="58">
        <v>7.3499999999999996E-2</v>
      </c>
      <c r="AD24" s="59">
        <v>0</v>
      </c>
      <c r="AE24" s="58">
        <v>0.5978</v>
      </c>
      <c r="AF24" s="58">
        <v>0.5585</v>
      </c>
      <c r="AG24" s="59">
        <v>3</v>
      </c>
      <c r="AH24" s="58">
        <v>1</v>
      </c>
      <c r="AI24" s="58">
        <v>1</v>
      </c>
      <c r="AJ24" s="59">
        <v>0</v>
      </c>
      <c r="AK24" s="58">
        <v>9.5100000000000004E-2</v>
      </c>
      <c r="AL24" s="58">
        <v>0.17849999999999999</v>
      </c>
      <c r="AM24" s="59">
        <v>3</v>
      </c>
      <c r="AN24" s="58">
        <v>0.34499999999999997</v>
      </c>
      <c r="AO24" s="58">
        <v>0.52900000000000003</v>
      </c>
      <c r="AP24" s="101">
        <v>1</v>
      </c>
      <c r="AQ24" s="4">
        <v>40</v>
      </c>
      <c r="AR24" s="4"/>
    </row>
    <row r="25" spans="1:44" x14ac:dyDescent="0.25">
      <c r="A25" s="1" t="s">
        <v>44</v>
      </c>
      <c r="B25" s="2" t="s">
        <v>175</v>
      </c>
      <c r="C25" s="2" t="s">
        <v>245</v>
      </c>
      <c r="D25" s="2" t="s">
        <v>153</v>
      </c>
      <c r="E25" s="3">
        <v>29102</v>
      </c>
      <c r="F25" s="59">
        <v>2</v>
      </c>
      <c r="G25" s="59">
        <v>2</v>
      </c>
      <c r="H25" s="59">
        <v>2</v>
      </c>
      <c r="I25" s="59">
        <v>2</v>
      </c>
      <c r="J25" s="59">
        <v>2</v>
      </c>
      <c r="K25" s="59">
        <v>2</v>
      </c>
      <c r="L25" s="59">
        <v>2</v>
      </c>
      <c r="M25" s="59">
        <v>2</v>
      </c>
      <c r="N25" s="59">
        <v>2</v>
      </c>
      <c r="O25" s="121">
        <v>3</v>
      </c>
      <c r="P25" s="58">
        <v>0.60870000000000002</v>
      </c>
      <c r="Q25" s="58">
        <v>0.7429</v>
      </c>
      <c r="R25" s="96">
        <v>0</v>
      </c>
      <c r="S25" s="58">
        <v>0.1429</v>
      </c>
      <c r="T25" s="58">
        <v>0.1154</v>
      </c>
      <c r="U25" s="96">
        <v>1.5</v>
      </c>
      <c r="V25" s="58">
        <v>0.5</v>
      </c>
      <c r="W25" s="58">
        <v>0.2</v>
      </c>
      <c r="X25" s="96">
        <v>0.5</v>
      </c>
      <c r="Y25" s="58">
        <v>0.1429</v>
      </c>
      <c r="Z25" s="58">
        <v>0.1923</v>
      </c>
      <c r="AA25" s="96">
        <v>0.5</v>
      </c>
      <c r="AB25" s="58">
        <v>0</v>
      </c>
      <c r="AC25" s="58">
        <v>0.04</v>
      </c>
      <c r="AD25" s="59">
        <v>0</v>
      </c>
      <c r="AE25" s="58">
        <v>0.67</v>
      </c>
      <c r="AF25" s="58">
        <v>0.59830000000000005</v>
      </c>
      <c r="AG25" s="59">
        <v>3</v>
      </c>
      <c r="AH25" s="58">
        <v>1</v>
      </c>
      <c r="AI25" s="58">
        <v>1</v>
      </c>
      <c r="AJ25" s="59">
        <v>0</v>
      </c>
      <c r="AK25" s="58">
        <v>0</v>
      </c>
      <c r="AL25" s="58">
        <v>0.19620000000000001</v>
      </c>
      <c r="AM25" s="59">
        <v>1</v>
      </c>
      <c r="AN25" s="58">
        <v>0.03</v>
      </c>
      <c r="AO25" s="58">
        <v>0.25</v>
      </c>
      <c r="AP25" s="101">
        <v>1</v>
      </c>
      <c r="AQ25" s="4">
        <v>40</v>
      </c>
      <c r="AR25" s="4"/>
    </row>
    <row r="26" spans="1:44" x14ac:dyDescent="0.25">
      <c r="A26" s="1" t="s">
        <v>454</v>
      </c>
      <c r="B26" s="2" t="s">
        <v>484</v>
      </c>
      <c r="C26" s="2" t="s">
        <v>245</v>
      </c>
      <c r="D26" s="2" t="s">
        <v>153</v>
      </c>
      <c r="E26" s="3">
        <v>29102</v>
      </c>
      <c r="F26" s="59">
        <v>2</v>
      </c>
      <c r="G26" s="59">
        <v>2</v>
      </c>
      <c r="H26" s="59">
        <v>2</v>
      </c>
      <c r="I26" s="59">
        <v>2</v>
      </c>
      <c r="J26" s="59">
        <v>1</v>
      </c>
      <c r="K26" s="59">
        <v>2</v>
      </c>
      <c r="L26" s="59">
        <v>2</v>
      </c>
      <c r="M26" s="59">
        <v>2</v>
      </c>
      <c r="N26" s="59">
        <v>2</v>
      </c>
      <c r="O26" s="121">
        <v>2</v>
      </c>
      <c r="P26" s="58">
        <v>0.8125</v>
      </c>
      <c r="Q26" s="58">
        <v>0.55559999999999998</v>
      </c>
      <c r="R26" s="96">
        <v>0</v>
      </c>
      <c r="S26" s="58">
        <v>0.1852</v>
      </c>
      <c r="T26" s="58">
        <v>0.15379999999999999</v>
      </c>
      <c r="U26" s="96">
        <v>0</v>
      </c>
      <c r="V26" s="58">
        <v>0.1071</v>
      </c>
      <c r="W26" s="58">
        <v>8.6999999999999994E-2</v>
      </c>
      <c r="X26" s="96">
        <v>0</v>
      </c>
      <c r="Y26" s="58">
        <v>0.22220000000000001</v>
      </c>
      <c r="Z26" s="58">
        <v>0.15379999999999999</v>
      </c>
      <c r="AA26" s="96">
        <v>0</v>
      </c>
      <c r="AB26" s="58">
        <v>6.9000000000000006E-2</v>
      </c>
      <c r="AC26" s="58">
        <v>0</v>
      </c>
      <c r="AD26" s="59">
        <v>0</v>
      </c>
      <c r="AE26" s="58">
        <v>0.68910000000000005</v>
      </c>
      <c r="AF26" s="58">
        <v>0.5887</v>
      </c>
      <c r="AG26" s="59">
        <v>3</v>
      </c>
      <c r="AH26" s="58">
        <v>1</v>
      </c>
      <c r="AI26" s="58">
        <v>1</v>
      </c>
      <c r="AJ26" s="59">
        <v>2</v>
      </c>
      <c r="AK26" s="58">
        <v>1</v>
      </c>
      <c r="AL26" s="58">
        <v>0.1318</v>
      </c>
      <c r="AM26" s="59">
        <v>0</v>
      </c>
      <c r="AN26" s="58">
        <v>0.214</v>
      </c>
      <c r="AO26" s="58">
        <v>0.05</v>
      </c>
      <c r="AP26" s="101">
        <v>1</v>
      </c>
      <c r="AQ26" s="4">
        <v>40</v>
      </c>
      <c r="AR26" s="4"/>
    </row>
    <row r="27" spans="1:44" x14ac:dyDescent="0.25">
      <c r="A27" s="1" t="s">
        <v>45</v>
      </c>
      <c r="B27" s="2" t="s">
        <v>176</v>
      </c>
      <c r="C27" s="2" t="s">
        <v>246</v>
      </c>
      <c r="D27" s="2" t="s">
        <v>153</v>
      </c>
      <c r="E27" s="3">
        <v>29488</v>
      </c>
      <c r="F27" s="59">
        <v>2</v>
      </c>
      <c r="G27" s="59">
        <v>2</v>
      </c>
      <c r="H27" s="59">
        <v>1</v>
      </c>
      <c r="I27" s="59">
        <v>2</v>
      </c>
      <c r="J27" s="59">
        <v>1</v>
      </c>
      <c r="K27" s="59">
        <v>2</v>
      </c>
      <c r="L27" s="59">
        <v>2</v>
      </c>
      <c r="M27" s="59">
        <v>2</v>
      </c>
      <c r="N27" s="59">
        <v>2</v>
      </c>
      <c r="O27" s="121">
        <v>1</v>
      </c>
      <c r="P27" s="58">
        <v>2.63E-2</v>
      </c>
      <c r="Q27" s="58">
        <v>0.45450000000000002</v>
      </c>
      <c r="R27" s="96">
        <v>0.5</v>
      </c>
      <c r="S27" s="58">
        <v>8.9599999999999999E-2</v>
      </c>
      <c r="T27" s="58">
        <v>0.16669999999999999</v>
      </c>
      <c r="U27" s="96">
        <v>0</v>
      </c>
      <c r="V27" s="58">
        <v>6.7799999999999999E-2</v>
      </c>
      <c r="W27" s="58">
        <v>5.33E-2</v>
      </c>
      <c r="X27" s="96">
        <v>0</v>
      </c>
      <c r="Y27" s="58">
        <v>4.41E-2</v>
      </c>
      <c r="Z27" s="58">
        <v>2.0799999999999999E-2</v>
      </c>
      <c r="AA27" s="96">
        <v>0</v>
      </c>
      <c r="AB27" s="58">
        <v>3.3300000000000003E-2</v>
      </c>
      <c r="AC27" s="58">
        <v>1.32E-2</v>
      </c>
      <c r="AD27" s="59">
        <v>0</v>
      </c>
      <c r="AE27" s="58">
        <v>0.56840000000000002</v>
      </c>
      <c r="AF27" s="58">
        <v>0.5383</v>
      </c>
      <c r="AG27" s="59">
        <v>3</v>
      </c>
      <c r="AH27" s="58">
        <v>1</v>
      </c>
      <c r="AI27" s="58">
        <v>1</v>
      </c>
      <c r="AJ27" s="59">
        <v>0</v>
      </c>
      <c r="AK27" s="58">
        <v>5.9200000000000003E-2</v>
      </c>
      <c r="AL27" s="58">
        <v>0.2291</v>
      </c>
      <c r="AM27" s="59">
        <v>1</v>
      </c>
      <c r="AN27" s="58">
        <v>0.13100000000000001</v>
      </c>
      <c r="AO27" s="58">
        <v>0.20899999999999999</v>
      </c>
      <c r="AP27" s="101">
        <v>1</v>
      </c>
      <c r="AQ27" s="4">
        <v>40</v>
      </c>
      <c r="AR27" s="4"/>
    </row>
    <row r="28" spans="1:44" x14ac:dyDescent="0.25">
      <c r="A28" s="1" t="s">
        <v>46</v>
      </c>
      <c r="B28" s="2" t="s">
        <v>177</v>
      </c>
      <c r="C28" s="2" t="s">
        <v>46</v>
      </c>
      <c r="D28" s="2" t="s">
        <v>153</v>
      </c>
      <c r="E28" s="3">
        <v>29532</v>
      </c>
      <c r="F28" s="59">
        <v>2</v>
      </c>
      <c r="G28" s="59">
        <v>2</v>
      </c>
      <c r="H28" s="59">
        <v>2</v>
      </c>
      <c r="I28" s="59">
        <v>2</v>
      </c>
      <c r="J28" s="59">
        <v>2</v>
      </c>
      <c r="K28" s="59">
        <v>2</v>
      </c>
      <c r="L28" s="59">
        <v>1</v>
      </c>
      <c r="M28" s="59">
        <v>2</v>
      </c>
      <c r="N28" s="59">
        <v>2</v>
      </c>
      <c r="O28" s="121">
        <v>0</v>
      </c>
      <c r="P28" s="58">
        <v>0.65749999999999997</v>
      </c>
      <c r="Q28" s="58">
        <v>0.52339999999999998</v>
      </c>
      <c r="R28" s="96">
        <v>0</v>
      </c>
      <c r="S28" s="58">
        <v>0.1193</v>
      </c>
      <c r="T28" s="58">
        <v>0.1111</v>
      </c>
      <c r="U28" s="96">
        <v>1</v>
      </c>
      <c r="V28" s="58">
        <v>0.1008</v>
      </c>
      <c r="W28" s="58">
        <v>0.12590000000000001</v>
      </c>
      <c r="X28" s="96">
        <v>0.5</v>
      </c>
      <c r="Y28" s="58">
        <v>0.1</v>
      </c>
      <c r="Z28" s="58">
        <v>0.15079999999999999</v>
      </c>
      <c r="AA28" s="96">
        <v>1</v>
      </c>
      <c r="AB28" s="58">
        <v>6.9199999999999998E-2</v>
      </c>
      <c r="AC28" s="58">
        <v>9.7000000000000003E-2</v>
      </c>
      <c r="AD28" s="59">
        <v>2</v>
      </c>
      <c r="AE28" s="58">
        <v>0.66239999999999999</v>
      </c>
      <c r="AF28" s="58">
        <v>0.68289999999999995</v>
      </c>
      <c r="AG28" s="59">
        <v>3</v>
      </c>
      <c r="AH28" s="58">
        <v>1</v>
      </c>
      <c r="AI28" s="58">
        <v>1</v>
      </c>
      <c r="AJ28" s="59">
        <v>0</v>
      </c>
      <c r="AK28" s="58">
        <v>8.48E-2</v>
      </c>
      <c r="AL28" s="58">
        <v>0.2261</v>
      </c>
      <c r="AM28" s="59">
        <v>3</v>
      </c>
      <c r="AN28" s="58">
        <v>0.187</v>
      </c>
      <c r="AO28" s="58">
        <v>0.4</v>
      </c>
      <c r="AP28" s="101">
        <v>1</v>
      </c>
      <c r="AQ28" s="4">
        <v>40</v>
      </c>
      <c r="AR28" s="4"/>
    </row>
    <row r="29" spans="1:44" x14ac:dyDescent="0.25">
      <c r="A29" s="1" t="s">
        <v>47</v>
      </c>
      <c r="B29" s="2" t="s">
        <v>178</v>
      </c>
      <c r="C29" s="2" t="s">
        <v>247</v>
      </c>
      <c r="D29" s="2" t="s">
        <v>153</v>
      </c>
      <c r="E29" s="3">
        <v>29565</v>
      </c>
      <c r="F29" s="59">
        <v>2</v>
      </c>
      <c r="G29" s="59">
        <v>2</v>
      </c>
      <c r="H29" s="59">
        <v>2</v>
      </c>
      <c r="I29" s="59">
        <v>2</v>
      </c>
      <c r="J29" s="59">
        <v>2</v>
      </c>
      <c r="K29" s="59">
        <v>2</v>
      </c>
      <c r="L29" s="59">
        <v>2</v>
      </c>
      <c r="M29" s="59">
        <v>2</v>
      </c>
      <c r="N29" s="59">
        <v>2</v>
      </c>
      <c r="O29" s="121">
        <v>3</v>
      </c>
      <c r="P29" s="58">
        <v>0.6</v>
      </c>
      <c r="Q29" s="58">
        <v>0.8</v>
      </c>
      <c r="R29" s="96">
        <v>1.5</v>
      </c>
      <c r="S29" s="58">
        <v>0.3</v>
      </c>
      <c r="T29" s="58">
        <v>0.28570000000000001</v>
      </c>
      <c r="U29" s="96">
        <v>0</v>
      </c>
      <c r="V29" s="58">
        <v>0.22220000000000001</v>
      </c>
      <c r="W29" s="58">
        <v>0</v>
      </c>
      <c r="X29" s="96">
        <v>1.5</v>
      </c>
      <c r="Y29" s="58">
        <v>0.5</v>
      </c>
      <c r="Z29" s="58">
        <v>0.35709999999999997</v>
      </c>
      <c r="AA29" s="96">
        <v>0</v>
      </c>
      <c r="AB29" s="58">
        <v>0.22220000000000001</v>
      </c>
      <c r="AC29" s="58">
        <v>0</v>
      </c>
      <c r="AD29" s="59">
        <v>3</v>
      </c>
      <c r="AE29" s="58">
        <v>0.85540000000000005</v>
      </c>
      <c r="AF29" s="58">
        <v>0.82669999999999999</v>
      </c>
      <c r="AG29" s="59">
        <v>3</v>
      </c>
      <c r="AH29" s="58">
        <v>1</v>
      </c>
      <c r="AI29" s="58">
        <v>1</v>
      </c>
      <c r="AJ29" s="59">
        <v>0</v>
      </c>
      <c r="AK29" s="58">
        <v>6.0199999999999997E-2</v>
      </c>
      <c r="AL29" s="58">
        <v>0.23230000000000001</v>
      </c>
      <c r="AM29" s="59">
        <v>0</v>
      </c>
      <c r="AN29" s="58">
        <v>0.182</v>
      </c>
      <c r="AO29" s="58">
        <v>0</v>
      </c>
      <c r="AP29" s="101">
        <v>1</v>
      </c>
      <c r="AQ29" s="4">
        <v>40</v>
      </c>
      <c r="AR29" s="4"/>
    </row>
    <row r="30" spans="1:44" x14ac:dyDescent="0.25">
      <c r="A30" s="1" t="s">
        <v>48</v>
      </c>
      <c r="B30" s="2" t="s">
        <v>179</v>
      </c>
      <c r="C30" s="2" t="s">
        <v>248</v>
      </c>
      <c r="D30" s="2" t="s">
        <v>153</v>
      </c>
      <c r="E30" s="3">
        <v>29536</v>
      </c>
      <c r="F30" s="59">
        <v>2</v>
      </c>
      <c r="G30" s="59">
        <v>2</v>
      </c>
      <c r="H30" s="59">
        <v>2</v>
      </c>
      <c r="I30" s="59">
        <v>2</v>
      </c>
      <c r="J30" s="59">
        <v>2</v>
      </c>
      <c r="K30" s="59">
        <v>2</v>
      </c>
      <c r="L30" s="59">
        <v>2</v>
      </c>
      <c r="M30" s="59">
        <v>2</v>
      </c>
      <c r="N30" s="59">
        <v>2</v>
      </c>
      <c r="O30" s="121">
        <v>0</v>
      </c>
      <c r="P30" s="58">
        <v>0.5</v>
      </c>
      <c r="Q30" s="58">
        <v>0.42859999999999998</v>
      </c>
      <c r="R30" s="96">
        <v>0</v>
      </c>
      <c r="S30" s="58">
        <v>0.1071</v>
      </c>
      <c r="T30" s="58">
        <v>9.0899999999999995E-2</v>
      </c>
      <c r="U30" s="96">
        <v>0</v>
      </c>
      <c r="V30" s="58">
        <v>0.12</v>
      </c>
      <c r="W30" s="58">
        <v>3.6999999999999998E-2</v>
      </c>
      <c r="X30" s="96">
        <v>0</v>
      </c>
      <c r="Y30" s="58">
        <v>0.17860000000000001</v>
      </c>
      <c r="Z30" s="58">
        <v>0.13639999999999999</v>
      </c>
      <c r="AA30" s="96">
        <v>0</v>
      </c>
      <c r="AB30" s="58">
        <v>0.1429</v>
      </c>
      <c r="AC30" s="58">
        <v>3.6999999999999998E-2</v>
      </c>
      <c r="AD30" s="59">
        <v>3</v>
      </c>
      <c r="AE30" s="58">
        <v>0.77739999999999998</v>
      </c>
      <c r="AF30" s="58">
        <v>0.80620000000000003</v>
      </c>
      <c r="AG30" s="59">
        <v>3</v>
      </c>
      <c r="AH30" s="58">
        <v>1</v>
      </c>
      <c r="AI30" s="58">
        <v>1</v>
      </c>
      <c r="AJ30" s="59">
        <v>3</v>
      </c>
      <c r="AK30" s="58">
        <v>2.9000000000000001E-2</v>
      </c>
      <c r="AL30" s="58">
        <v>6.1199999999999997E-2</v>
      </c>
      <c r="AM30" s="59">
        <v>1</v>
      </c>
      <c r="AN30" s="58">
        <v>5.2999999999999999E-2</v>
      </c>
      <c r="AO30" s="58">
        <v>7.6999999999999999E-2</v>
      </c>
      <c r="AP30" s="101">
        <v>1</v>
      </c>
      <c r="AQ30" s="4">
        <v>40</v>
      </c>
      <c r="AR30" s="4"/>
    </row>
    <row r="31" spans="1:44" x14ac:dyDescent="0.25">
      <c r="A31" s="1" t="s">
        <v>49</v>
      </c>
      <c r="B31" s="2" t="s">
        <v>180</v>
      </c>
      <c r="C31" s="2" t="s">
        <v>249</v>
      </c>
      <c r="D31" s="2" t="s">
        <v>153</v>
      </c>
      <c r="E31" s="3">
        <v>29483</v>
      </c>
      <c r="F31" s="59">
        <v>2</v>
      </c>
      <c r="G31" s="59">
        <v>2</v>
      </c>
      <c r="H31" s="59">
        <v>2</v>
      </c>
      <c r="I31" s="59">
        <v>2</v>
      </c>
      <c r="J31" s="59">
        <v>1</v>
      </c>
      <c r="K31" s="59">
        <v>2</v>
      </c>
      <c r="L31" s="59">
        <v>1</v>
      </c>
      <c r="M31" s="59">
        <v>2</v>
      </c>
      <c r="N31" s="59">
        <v>2</v>
      </c>
      <c r="O31" s="121">
        <v>1</v>
      </c>
      <c r="P31" s="58">
        <v>0.4819</v>
      </c>
      <c r="Q31" s="58">
        <v>0.53680000000000005</v>
      </c>
      <c r="R31" s="96">
        <v>1</v>
      </c>
      <c r="S31" s="58">
        <v>0.22500000000000001</v>
      </c>
      <c r="T31" s="58">
        <v>0.22689999999999999</v>
      </c>
      <c r="U31" s="96">
        <v>0</v>
      </c>
      <c r="V31" s="58">
        <v>9.9000000000000005E-2</v>
      </c>
      <c r="W31" s="58">
        <v>9.0899999999999995E-2</v>
      </c>
      <c r="X31" s="96">
        <v>1</v>
      </c>
      <c r="Y31" s="58">
        <v>0.2107</v>
      </c>
      <c r="Z31" s="58">
        <v>0.21540000000000001</v>
      </c>
      <c r="AA31" s="96">
        <v>1</v>
      </c>
      <c r="AB31" s="58">
        <v>7.7700000000000005E-2</v>
      </c>
      <c r="AC31" s="58">
        <v>7.8299999999999995E-2</v>
      </c>
      <c r="AD31" s="59">
        <v>1</v>
      </c>
      <c r="AE31" s="58">
        <v>0.56059999999999999</v>
      </c>
      <c r="AF31" s="58">
        <v>0.57689999999999997</v>
      </c>
      <c r="AG31" s="59">
        <v>3</v>
      </c>
      <c r="AH31" s="58">
        <v>1</v>
      </c>
      <c r="AI31" s="58">
        <v>1</v>
      </c>
      <c r="AJ31" s="59">
        <v>0</v>
      </c>
      <c r="AK31" s="58">
        <v>7.5999999999999998E-2</v>
      </c>
      <c r="AL31" s="58">
        <v>0.16900000000000001</v>
      </c>
      <c r="AM31" s="59">
        <v>3</v>
      </c>
      <c r="AN31" s="58">
        <v>0.25900000000000001</v>
      </c>
      <c r="AO31" s="58">
        <v>0.45500000000000002</v>
      </c>
      <c r="AP31" s="101">
        <v>1</v>
      </c>
      <c r="AQ31" s="4">
        <v>40</v>
      </c>
      <c r="AR31" s="4"/>
    </row>
    <row r="32" spans="1:44" x14ac:dyDescent="0.25">
      <c r="A32" s="1" t="s">
        <v>50</v>
      </c>
      <c r="B32" s="2" t="s">
        <v>181</v>
      </c>
      <c r="C32" s="2" t="s">
        <v>250</v>
      </c>
      <c r="D32" s="2" t="s">
        <v>153</v>
      </c>
      <c r="E32" s="3">
        <v>29437</v>
      </c>
      <c r="F32" s="59">
        <v>2</v>
      </c>
      <c r="G32" s="59">
        <v>2</v>
      </c>
      <c r="H32" s="59">
        <v>2</v>
      </c>
      <c r="I32" s="59">
        <v>2</v>
      </c>
      <c r="J32" s="59">
        <v>2</v>
      </c>
      <c r="K32" s="59">
        <v>1</v>
      </c>
      <c r="L32" s="59">
        <v>2</v>
      </c>
      <c r="M32" s="59">
        <v>2</v>
      </c>
      <c r="N32" s="59">
        <v>2</v>
      </c>
      <c r="O32" s="121">
        <v>3</v>
      </c>
      <c r="P32" s="58">
        <v>0.7</v>
      </c>
      <c r="Q32" s="58">
        <v>0.76190000000000002</v>
      </c>
      <c r="R32" s="96">
        <v>0</v>
      </c>
      <c r="S32" s="58">
        <v>0.15629999999999999</v>
      </c>
      <c r="T32" s="58">
        <v>9.0899999999999995E-2</v>
      </c>
      <c r="U32" s="96">
        <v>1.5</v>
      </c>
      <c r="V32" s="58">
        <v>2.63E-2</v>
      </c>
      <c r="W32" s="58">
        <v>0.1852</v>
      </c>
      <c r="X32" s="96">
        <v>0</v>
      </c>
      <c r="Y32" s="58">
        <v>9.3799999999999994E-2</v>
      </c>
      <c r="Z32" s="58">
        <v>0</v>
      </c>
      <c r="AA32" s="96">
        <v>1.5</v>
      </c>
      <c r="AB32" s="58">
        <v>2.63E-2</v>
      </c>
      <c r="AC32" s="58">
        <v>0.15379999999999999</v>
      </c>
      <c r="AD32" s="59">
        <v>0</v>
      </c>
      <c r="AE32" s="58">
        <v>0.60799999999999998</v>
      </c>
      <c r="AF32" s="58">
        <v>0.51759999999999995</v>
      </c>
      <c r="AG32" s="59">
        <v>3</v>
      </c>
      <c r="AH32" s="58">
        <v>1</v>
      </c>
      <c r="AI32" s="58">
        <v>1</v>
      </c>
      <c r="AJ32" s="59">
        <v>2</v>
      </c>
      <c r="AK32" s="58">
        <v>2.2700000000000001E-2</v>
      </c>
      <c r="AL32" s="58">
        <v>0.108</v>
      </c>
      <c r="AM32" s="59">
        <v>2</v>
      </c>
      <c r="AN32" s="58">
        <v>0.26900000000000002</v>
      </c>
      <c r="AO32" s="58">
        <v>0.38200000000000001</v>
      </c>
      <c r="AP32" s="101">
        <v>1</v>
      </c>
      <c r="AQ32" s="4">
        <v>40</v>
      </c>
      <c r="AR32" s="4"/>
    </row>
    <row r="33" spans="1:44" x14ac:dyDescent="0.25">
      <c r="A33" s="1" t="s">
        <v>51</v>
      </c>
      <c r="B33" s="2" t="s">
        <v>182</v>
      </c>
      <c r="C33" s="2" t="s">
        <v>251</v>
      </c>
      <c r="D33" s="2" t="s">
        <v>153</v>
      </c>
      <c r="E33" s="3">
        <v>29824</v>
      </c>
      <c r="F33" s="59">
        <v>2</v>
      </c>
      <c r="G33" s="59">
        <v>2</v>
      </c>
      <c r="H33" s="59">
        <v>2</v>
      </c>
      <c r="I33" s="59">
        <v>2</v>
      </c>
      <c r="J33" s="59">
        <v>1</v>
      </c>
      <c r="K33" s="59">
        <v>2</v>
      </c>
      <c r="L33" s="59">
        <v>2</v>
      </c>
      <c r="M33" s="59">
        <v>2</v>
      </c>
      <c r="N33" s="59">
        <v>2</v>
      </c>
      <c r="O33" s="121">
        <v>0</v>
      </c>
      <c r="P33" s="58">
        <v>0.54549999999999998</v>
      </c>
      <c r="Q33" s="58">
        <v>0.41670000000000001</v>
      </c>
      <c r="R33" s="96">
        <v>0</v>
      </c>
      <c r="S33" s="58">
        <v>0.17649999999999999</v>
      </c>
      <c r="T33" s="58">
        <v>0.1333</v>
      </c>
      <c r="U33" s="96">
        <v>0.5</v>
      </c>
      <c r="V33" s="58">
        <v>5.5599999999999997E-2</v>
      </c>
      <c r="W33" s="58">
        <v>7.1400000000000005E-2</v>
      </c>
      <c r="X33" s="96">
        <v>0.5</v>
      </c>
      <c r="Y33" s="58">
        <v>5.8799999999999998E-2</v>
      </c>
      <c r="Z33" s="58">
        <v>0.1</v>
      </c>
      <c r="AA33" s="96">
        <v>0</v>
      </c>
      <c r="AB33" s="58">
        <v>5.5599999999999997E-2</v>
      </c>
      <c r="AC33" s="58">
        <v>0</v>
      </c>
      <c r="AD33" s="59">
        <v>0</v>
      </c>
      <c r="AE33" s="58">
        <v>0.61360000000000003</v>
      </c>
      <c r="AF33" s="58">
        <v>0.58360000000000001</v>
      </c>
      <c r="AG33" s="59">
        <v>3</v>
      </c>
      <c r="AH33" s="58">
        <v>1</v>
      </c>
      <c r="AI33" s="58">
        <v>1</v>
      </c>
      <c r="AJ33" s="59">
        <v>0</v>
      </c>
      <c r="AK33" s="58">
        <v>6.1899999999999997E-2</v>
      </c>
      <c r="AL33" s="58">
        <v>0.61109999999999998</v>
      </c>
      <c r="AM33" s="59">
        <v>1</v>
      </c>
      <c r="AN33" s="58">
        <v>0.27600000000000002</v>
      </c>
      <c r="AO33" s="58">
        <v>0.29199999999999998</v>
      </c>
      <c r="AP33" s="101">
        <v>1</v>
      </c>
      <c r="AQ33" s="4">
        <v>40</v>
      </c>
      <c r="AR33" s="4"/>
    </row>
    <row r="34" spans="1:44" x14ac:dyDescent="0.25">
      <c r="A34" s="1" t="s">
        <v>52</v>
      </c>
      <c r="B34" s="2" t="s">
        <v>183</v>
      </c>
      <c r="C34" s="2" t="s">
        <v>252</v>
      </c>
      <c r="D34" s="2" t="s">
        <v>153</v>
      </c>
      <c r="E34" s="3">
        <v>29180</v>
      </c>
      <c r="F34" s="59">
        <v>2</v>
      </c>
      <c r="G34" s="59">
        <v>2</v>
      </c>
      <c r="H34" s="59">
        <v>2</v>
      </c>
      <c r="I34" s="59">
        <v>2</v>
      </c>
      <c r="J34" s="59">
        <v>2</v>
      </c>
      <c r="K34" s="59">
        <v>2</v>
      </c>
      <c r="L34" s="59">
        <v>2</v>
      </c>
      <c r="M34" s="59">
        <v>2</v>
      </c>
      <c r="N34" s="59">
        <v>2</v>
      </c>
      <c r="O34" s="121">
        <v>0</v>
      </c>
      <c r="P34" s="58">
        <v>0.52939999999999998</v>
      </c>
      <c r="Q34" s="58">
        <v>0.52939999999999998</v>
      </c>
      <c r="R34" s="96">
        <v>1</v>
      </c>
      <c r="S34" s="58">
        <v>0.2</v>
      </c>
      <c r="T34" s="58">
        <v>0.19439999999999999</v>
      </c>
      <c r="U34" s="96">
        <v>1</v>
      </c>
      <c r="V34" s="58">
        <v>0.1176</v>
      </c>
      <c r="W34" s="58">
        <v>0.1053</v>
      </c>
      <c r="X34" s="96">
        <v>0.5</v>
      </c>
      <c r="Y34" s="58">
        <v>5.7099999999999998E-2</v>
      </c>
      <c r="Z34" s="58">
        <v>0.1111</v>
      </c>
      <c r="AA34" s="96">
        <v>1.5</v>
      </c>
      <c r="AB34" s="58">
        <v>6.25E-2</v>
      </c>
      <c r="AC34" s="58">
        <v>0.1053</v>
      </c>
      <c r="AD34" s="59">
        <v>2</v>
      </c>
      <c r="AE34" s="58">
        <v>0.66759999999999997</v>
      </c>
      <c r="AF34" s="58">
        <v>0.67300000000000004</v>
      </c>
      <c r="AG34" s="59">
        <v>3</v>
      </c>
      <c r="AH34" s="58">
        <v>1</v>
      </c>
      <c r="AI34" s="58">
        <v>1</v>
      </c>
      <c r="AJ34" s="59">
        <v>0</v>
      </c>
      <c r="AK34" s="58">
        <v>5.1799999999999999E-2</v>
      </c>
      <c r="AL34" s="58">
        <v>0.2208</v>
      </c>
      <c r="AM34" s="59">
        <v>1</v>
      </c>
      <c r="AN34" s="58">
        <v>0.15</v>
      </c>
      <c r="AO34" s="58">
        <v>0.28000000000000003</v>
      </c>
      <c r="AP34" s="101">
        <v>1</v>
      </c>
      <c r="AQ34" s="4">
        <v>40</v>
      </c>
      <c r="AR34" s="4"/>
    </row>
    <row r="35" spans="1:44" x14ac:dyDescent="0.25">
      <c r="A35" s="1" t="s">
        <v>53</v>
      </c>
      <c r="B35" s="2" t="s">
        <v>184</v>
      </c>
      <c r="C35" s="2" t="s">
        <v>253</v>
      </c>
      <c r="D35" s="2" t="s">
        <v>153</v>
      </c>
      <c r="E35" s="3">
        <v>29501</v>
      </c>
      <c r="F35" s="59">
        <v>2</v>
      </c>
      <c r="G35" s="59">
        <v>2</v>
      </c>
      <c r="H35" s="59">
        <v>2</v>
      </c>
      <c r="I35" s="59">
        <v>1</v>
      </c>
      <c r="J35" s="59">
        <v>1</v>
      </c>
      <c r="K35" s="59">
        <v>2</v>
      </c>
      <c r="L35" s="59">
        <v>2</v>
      </c>
      <c r="M35" s="59">
        <v>2</v>
      </c>
      <c r="N35" s="59">
        <v>2</v>
      </c>
      <c r="O35" s="121">
        <v>1</v>
      </c>
      <c r="P35" s="58">
        <v>0.34150000000000003</v>
      </c>
      <c r="Q35" s="58">
        <v>0.51919999999999999</v>
      </c>
      <c r="R35" s="96">
        <v>0.5</v>
      </c>
      <c r="S35" s="58">
        <v>0.1348</v>
      </c>
      <c r="T35" s="58">
        <v>0.16309999999999999</v>
      </c>
      <c r="U35" s="96">
        <v>0.5</v>
      </c>
      <c r="V35" s="58">
        <v>6.3700000000000007E-2</v>
      </c>
      <c r="W35" s="58">
        <v>6.6299999999999998E-2</v>
      </c>
      <c r="X35" s="96">
        <v>0.5</v>
      </c>
      <c r="Y35" s="58">
        <v>6.9900000000000004E-2</v>
      </c>
      <c r="Z35" s="58">
        <v>7.0900000000000005E-2</v>
      </c>
      <c r="AA35" s="96">
        <v>0.5</v>
      </c>
      <c r="AB35" s="58">
        <v>3.1800000000000002E-2</v>
      </c>
      <c r="AC35" s="58">
        <v>4.1700000000000001E-2</v>
      </c>
      <c r="AD35" s="59">
        <v>1</v>
      </c>
      <c r="AE35" s="58">
        <v>0.55169999999999997</v>
      </c>
      <c r="AF35" s="58">
        <v>0.55489999999999995</v>
      </c>
      <c r="AG35" s="59">
        <v>3</v>
      </c>
      <c r="AH35" s="58">
        <v>1</v>
      </c>
      <c r="AI35" s="58">
        <v>1</v>
      </c>
      <c r="AJ35" s="59">
        <v>0</v>
      </c>
      <c r="AK35" s="58">
        <v>8.3400000000000002E-2</v>
      </c>
      <c r="AL35" s="58">
        <v>0.18729999999999999</v>
      </c>
      <c r="AM35" s="59">
        <v>2</v>
      </c>
      <c r="AN35" s="58">
        <v>0.17899999999999999</v>
      </c>
      <c r="AO35" s="58">
        <v>0.33600000000000002</v>
      </c>
      <c r="AP35" s="101">
        <v>1</v>
      </c>
      <c r="AQ35" s="4">
        <v>40</v>
      </c>
      <c r="AR35" s="4"/>
    </row>
    <row r="36" spans="1:44" x14ac:dyDescent="0.25">
      <c r="A36" s="1" t="s">
        <v>54</v>
      </c>
      <c r="B36" s="2" t="s">
        <v>185</v>
      </c>
      <c r="C36" s="2" t="s">
        <v>254</v>
      </c>
      <c r="D36" s="2" t="s">
        <v>153</v>
      </c>
      <c r="E36" s="3">
        <v>29583</v>
      </c>
      <c r="F36" s="59">
        <v>2</v>
      </c>
      <c r="G36" s="59">
        <v>2</v>
      </c>
      <c r="H36" s="59">
        <v>2</v>
      </c>
      <c r="I36" s="59">
        <v>2</v>
      </c>
      <c r="J36" s="59">
        <v>2</v>
      </c>
      <c r="K36" s="59">
        <v>2</v>
      </c>
      <c r="L36" s="59">
        <v>2</v>
      </c>
      <c r="M36" s="59">
        <v>2</v>
      </c>
      <c r="N36" s="59">
        <v>2</v>
      </c>
      <c r="O36" s="121">
        <v>1</v>
      </c>
      <c r="P36" s="58">
        <v>0.25</v>
      </c>
      <c r="Q36" s="58">
        <v>0.5</v>
      </c>
      <c r="R36" s="96">
        <v>0.5</v>
      </c>
      <c r="S36" s="58">
        <v>6.6699999999999995E-2</v>
      </c>
      <c r="T36" s="58">
        <v>8.6999999999999994E-2</v>
      </c>
      <c r="U36" s="96">
        <v>0.5</v>
      </c>
      <c r="V36" s="58">
        <v>0</v>
      </c>
      <c r="W36" s="58">
        <v>5.8799999999999998E-2</v>
      </c>
      <c r="X36" s="96">
        <v>1.5</v>
      </c>
      <c r="Y36" s="58">
        <v>0.1333</v>
      </c>
      <c r="Z36" s="58">
        <v>0.30430000000000001</v>
      </c>
      <c r="AA36" s="96">
        <v>0</v>
      </c>
      <c r="AB36" s="58">
        <v>8.3299999999999999E-2</v>
      </c>
      <c r="AC36" s="58">
        <v>5.8799999999999998E-2</v>
      </c>
      <c r="AD36" s="59">
        <v>2</v>
      </c>
      <c r="AE36" s="58">
        <v>0.67490000000000006</v>
      </c>
      <c r="AF36" s="58">
        <v>0.67449999999999999</v>
      </c>
      <c r="AG36" s="59">
        <v>3</v>
      </c>
      <c r="AH36" s="58">
        <v>1</v>
      </c>
      <c r="AI36" s="58">
        <v>1</v>
      </c>
      <c r="AJ36" s="59">
        <v>2</v>
      </c>
      <c r="AK36" s="58">
        <v>8.3699999999999997E-2</v>
      </c>
      <c r="AL36" s="58">
        <v>0.1404</v>
      </c>
      <c r="AM36" s="59">
        <v>2</v>
      </c>
      <c r="AN36" s="58">
        <v>0.2</v>
      </c>
      <c r="AO36" s="58">
        <v>0.3</v>
      </c>
      <c r="AP36" s="101">
        <v>1</v>
      </c>
      <c r="AQ36" s="4">
        <v>40</v>
      </c>
      <c r="AR36" s="4"/>
    </row>
    <row r="37" spans="1:44" x14ac:dyDescent="0.25">
      <c r="A37" s="1" t="s">
        <v>55</v>
      </c>
      <c r="B37" s="2" t="s">
        <v>186</v>
      </c>
      <c r="C37" s="2" t="s">
        <v>255</v>
      </c>
      <c r="D37" s="2" t="s">
        <v>153</v>
      </c>
      <c r="E37" s="3">
        <v>29560</v>
      </c>
      <c r="F37" s="59">
        <v>2</v>
      </c>
      <c r="G37" s="59">
        <v>2</v>
      </c>
      <c r="H37" s="59">
        <v>2</v>
      </c>
      <c r="I37" s="59">
        <v>2</v>
      </c>
      <c r="J37" s="59">
        <v>2</v>
      </c>
      <c r="K37" s="59">
        <v>2</v>
      </c>
      <c r="L37" s="59">
        <v>2</v>
      </c>
      <c r="M37" s="59">
        <v>2</v>
      </c>
      <c r="N37" s="59">
        <v>2</v>
      </c>
      <c r="O37" s="121">
        <v>1</v>
      </c>
      <c r="P37" s="58">
        <v>3.3300000000000003E-2</v>
      </c>
      <c r="Q37" s="58">
        <v>0.46150000000000002</v>
      </c>
      <c r="R37" s="96">
        <v>0.5</v>
      </c>
      <c r="S37" s="58">
        <v>4.7600000000000003E-2</v>
      </c>
      <c r="T37" s="58">
        <v>0.15909999999999999</v>
      </c>
      <c r="U37" s="96">
        <v>0.5</v>
      </c>
      <c r="V37" s="58">
        <v>1.6899999999999998E-2</v>
      </c>
      <c r="W37" s="58">
        <v>2.5000000000000001E-2</v>
      </c>
      <c r="X37" s="96">
        <v>0.5</v>
      </c>
      <c r="Y37" s="58">
        <v>9.5200000000000007E-2</v>
      </c>
      <c r="Z37" s="58">
        <v>0.11360000000000001</v>
      </c>
      <c r="AA37" s="96">
        <v>0.5</v>
      </c>
      <c r="AB37" s="58">
        <v>0</v>
      </c>
      <c r="AC37" s="58">
        <v>2.3800000000000002E-2</v>
      </c>
      <c r="AD37" s="59">
        <v>2</v>
      </c>
      <c r="AE37" s="58">
        <v>0.72240000000000004</v>
      </c>
      <c r="AF37" s="58">
        <v>0.68840000000000001</v>
      </c>
      <c r="AG37" s="59">
        <v>3</v>
      </c>
      <c r="AH37" s="58">
        <v>1</v>
      </c>
      <c r="AI37" s="58">
        <v>1</v>
      </c>
      <c r="AJ37" s="59">
        <v>0</v>
      </c>
      <c r="AK37" s="58">
        <v>5.8700000000000002E-2</v>
      </c>
      <c r="AL37" s="58">
        <v>0.19400000000000001</v>
      </c>
      <c r="AM37" s="59">
        <v>1</v>
      </c>
      <c r="AN37" s="58">
        <v>0.06</v>
      </c>
      <c r="AO37" s="58">
        <v>0.20399999999999999</v>
      </c>
      <c r="AP37" s="101">
        <v>1</v>
      </c>
      <c r="AQ37" s="4">
        <v>40</v>
      </c>
      <c r="AR37" s="4"/>
    </row>
    <row r="38" spans="1:44" x14ac:dyDescent="0.25">
      <c r="A38" s="1" t="s">
        <v>56</v>
      </c>
      <c r="B38" s="2" t="s">
        <v>187</v>
      </c>
      <c r="C38" s="2" t="s">
        <v>256</v>
      </c>
      <c r="D38" s="2" t="s">
        <v>153</v>
      </c>
      <c r="E38" s="3">
        <v>29161</v>
      </c>
      <c r="F38" s="59">
        <v>2</v>
      </c>
      <c r="G38" s="59">
        <v>2</v>
      </c>
      <c r="H38" s="59">
        <v>2</v>
      </c>
      <c r="I38" s="59">
        <v>2</v>
      </c>
      <c r="J38" s="59">
        <v>2</v>
      </c>
      <c r="K38" s="59">
        <v>2</v>
      </c>
      <c r="L38" s="59">
        <v>2</v>
      </c>
      <c r="M38" s="59">
        <v>2</v>
      </c>
      <c r="N38" s="59">
        <v>2</v>
      </c>
      <c r="O38" s="121">
        <v>2</v>
      </c>
      <c r="P38" s="58">
        <v>0.23080000000000001</v>
      </c>
      <c r="Q38" s="58">
        <v>0.63639999999999997</v>
      </c>
      <c r="R38" s="96">
        <v>1.5</v>
      </c>
      <c r="S38" s="58">
        <v>0</v>
      </c>
      <c r="T38" s="58">
        <v>0.4</v>
      </c>
      <c r="U38" s="96">
        <v>0</v>
      </c>
      <c r="V38" s="58">
        <v>9.0899999999999995E-2</v>
      </c>
      <c r="W38" s="58">
        <v>6.6699999999999995E-2</v>
      </c>
      <c r="X38" s="96">
        <v>1.5</v>
      </c>
      <c r="Y38" s="58">
        <v>0</v>
      </c>
      <c r="Z38" s="58">
        <v>0.4</v>
      </c>
      <c r="AA38" s="96">
        <v>0</v>
      </c>
      <c r="AB38" s="58">
        <v>0</v>
      </c>
      <c r="AC38" s="58">
        <v>0</v>
      </c>
      <c r="AD38" s="59">
        <v>2</v>
      </c>
      <c r="AE38" s="58">
        <v>0.56599999999999995</v>
      </c>
      <c r="AF38" s="58">
        <v>0.66669999999999996</v>
      </c>
      <c r="AG38" s="59">
        <v>3</v>
      </c>
      <c r="AH38" s="58">
        <v>1</v>
      </c>
      <c r="AI38" s="58">
        <v>1</v>
      </c>
      <c r="AJ38" s="59">
        <v>0</v>
      </c>
      <c r="AK38" s="58">
        <v>0</v>
      </c>
      <c r="AL38" s="58">
        <v>0.26169999999999999</v>
      </c>
      <c r="AM38" s="59">
        <v>0</v>
      </c>
      <c r="AN38" s="58">
        <v>0</v>
      </c>
      <c r="AO38" s="58">
        <v>0</v>
      </c>
      <c r="AP38" s="101">
        <v>1</v>
      </c>
      <c r="AQ38" s="4">
        <v>40</v>
      </c>
      <c r="AR38" s="4"/>
    </row>
    <row r="39" spans="1:44" x14ac:dyDescent="0.25">
      <c r="A39" s="1" t="s">
        <v>57</v>
      </c>
      <c r="B39" s="2" t="s">
        <v>188</v>
      </c>
      <c r="C39" s="2" t="s">
        <v>257</v>
      </c>
      <c r="D39" s="2" t="s">
        <v>153</v>
      </c>
      <c r="E39" s="3">
        <v>29555</v>
      </c>
      <c r="F39" s="59">
        <v>2</v>
      </c>
      <c r="G39" s="59">
        <v>2</v>
      </c>
      <c r="H39" s="59">
        <v>2</v>
      </c>
      <c r="I39" s="59">
        <v>2</v>
      </c>
      <c r="J39" s="59">
        <v>2</v>
      </c>
      <c r="K39" s="59">
        <v>2</v>
      </c>
      <c r="L39" s="59">
        <v>2</v>
      </c>
      <c r="M39" s="59">
        <v>2</v>
      </c>
      <c r="N39" s="59">
        <v>2</v>
      </c>
      <c r="O39" s="121">
        <v>0</v>
      </c>
      <c r="P39" s="58">
        <v>0.33329999999999999</v>
      </c>
      <c r="Q39" s="58">
        <v>0.25</v>
      </c>
      <c r="R39" s="96">
        <v>0</v>
      </c>
      <c r="S39" s="58">
        <v>0.18920000000000001</v>
      </c>
      <c r="T39" s="58">
        <v>9.0899999999999995E-2</v>
      </c>
      <c r="U39" s="96">
        <v>1.5</v>
      </c>
      <c r="V39" s="58">
        <v>0.1053</v>
      </c>
      <c r="W39" s="58">
        <v>0.18179999999999999</v>
      </c>
      <c r="X39" s="96">
        <v>0</v>
      </c>
      <c r="Y39" s="58">
        <v>0.1081</v>
      </c>
      <c r="Z39" s="58">
        <v>9.0899999999999995E-2</v>
      </c>
      <c r="AA39" s="96">
        <v>0</v>
      </c>
      <c r="AB39" s="58">
        <v>5.2600000000000001E-2</v>
      </c>
      <c r="AC39" s="58">
        <v>4.7600000000000003E-2</v>
      </c>
      <c r="AD39" s="59">
        <v>3</v>
      </c>
      <c r="AE39" s="58">
        <v>0.82030000000000003</v>
      </c>
      <c r="AF39" s="58">
        <v>0.77569999999999995</v>
      </c>
      <c r="AG39" s="59">
        <v>3</v>
      </c>
      <c r="AH39" s="58">
        <v>1</v>
      </c>
      <c r="AI39" s="58">
        <v>1</v>
      </c>
      <c r="AJ39" s="59">
        <v>0</v>
      </c>
      <c r="AK39" s="58">
        <v>8.5900000000000004E-2</v>
      </c>
      <c r="AL39" s="58">
        <v>0.1704</v>
      </c>
      <c r="AM39" s="59">
        <v>1</v>
      </c>
      <c r="AN39" s="58">
        <v>7.6999999999999999E-2</v>
      </c>
      <c r="AO39" s="58">
        <v>0.154</v>
      </c>
      <c r="AP39" s="101">
        <v>1</v>
      </c>
      <c r="AQ39" s="4">
        <v>40</v>
      </c>
      <c r="AR39" s="4"/>
    </row>
    <row r="40" spans="1:44" x14ac:dyDescent="0.25">
      <c r="A40" s="1" t="s">
        <v>58</v>
      </c>
      <c r="B40" s="2" t="s">
        <v>189</v>
      </c>
      <c r="C40" s="2" t="s">
        <v>258</v>
      </c>
      <c r="D40" s="2" t="s">
        <v>153</v>
      </c>
      <c r="E40" s="3">
        <v>29440</v>
      </c>
      <c r="F40" s="59">
        <v>2</v>
      </c>
      <c r="G40" s="59">
        <v>2</v>
      </c>
      <c r="H40" s="59">
        <v>1</v>
      </c>
      <c r="I40" s="59">
        <v>2</v>
      </c>
      <c r="J40" s="59">
        <v>1</v>
      </c>
      <c r="K40" s="59">
        <v>2</v>
      </c>
      <c r="L40" s="59">
        <v>2</v>
      </c>
      <c r="M40" s="59">
        <v>2</v>
      </c>
      <c r="N40" s="59">
        <v>2</v>
      </c>
      <c r="O40" s="121">
        <v>3</v>
      </c>
      <c r="P40" s="58">
        <v>0.61629999999999996</v>
      </c>
      <c r="Q40" s="58">
        <v>0.7419</v>
      </c>
      <c r="R40" s="96">
        <v>0.5</v>
      </c>
      <c r="S40" s="58">
        <v>9.01E-2</v>
      </c>
      <c r="T40" s="58">
        <v>0.1429</v>
      </c>
      <c r="U40" s="96">
        <v>0</v>
      </c>
      <c r="V40" s="58">
        <v>9.1700000000000004E-2</v>
      </c>
      <c r="W40" s="58">
        <v>6.0199999999999997E-2</v>
      </c>
      <c r="X40" s="96">
        <v>0</v>
      </c>
      <c r="Y40" s="58">
        <v>0.1182</v>
      </c>
      <c r="Z40" s="58">
        <v>0.1111</v>
      </c>
      <c r="AA40" s="96">
        <v>0</v>
      </c>
      <c r="AB40" s="58">
        <v>7.3800000000000004E-2</v>
      </c>
      <c r="AC40" s="58">
        <v>5.2999999999999999E-2</v>
      </c>
      <c r="AD40" s="59">
        <v>0</v>
      </c>
      <c r="AE40" s="58">
        <v>0.56740000000000002</v>
      </c>
      <c r="AF40" s="58">
        <v>0.55379999999999996</v>
      </c>
      <c r="AG40" s="59">
        <v>3</v>
      </c>
      <c r="AH40" s="58">
        <v>1</v>
      </c>
      <c r="AI40" s="58">
        <v>1</v>
      </c>
      <c r="AJ40" s="59">
        <v>0</v>
      </c>
      <c r="AK40" s="58">
        <v>0.1053</v>
      </c>
      <c r="AL40" s="58">
        <v>0.2359</v>
      </c>
      <c r="AM40" s="59">
        <v>0</v>
      </c>
      <c r="AN40" s="58">
        <v>0.23200000000000001</v>
      </c>
      <c r="AO40" s="58">
        <v>0.17899999999999999</v>
      </c>
      <c r="AP40" s="101">
        <v>1</v>
      </c>
      <c r="AQ40" s="4">
        <v>40</v>
      </c>
      <c r="AR40" s="4"/>
    </row>
    <row r="41" spans="1:44" x14ac:dyDescent="0.25">
      <c r="A41" s="1" t="s">
        <v>59</v>
      </c>
      <c r="B41" s="2" t="s">
        <v>190</v>
      </c>
      <c r="C41" s="2" t="s">
        <v>59</v>
      </c>
      <c r="D41" s="2" t="s">
        <v>153</v>
      </c>
      <c r="E41" s="3">
        <v>29601</v>
      </c>
      <c r="F41" s="59">
        <v>2</v>
      </c>
      <c r="G41" s="59">
        <v>2</v>
      </c>
      <c r="H41" s="59">
        <v>2</v>
      </c>
      <c r="I41" s="59">
        <v>2</v>
      </c>
      <c r="J41" s="59">
        <v>1</v>
      </c>
      <c r="K41" s="59">
        <v>2</v>
      </c>
      <c r="L41" s="59">
        <v>2</v>
      </c>
      <c r="M41" s="59">
        <v>2</v>
      </c>
      <c r="N41" s="59">
        <v>2</v>
      </c>
      <c r="O41" s="121">
        <v>2</v>
      </c>
      <c r="P41" s="58">
        <v>0.55189999999999995</v>
      </c>
      <c r="Q41" s="58">
        <v>0.59889999999999999</v>
      </c>
      <c r="R41" s="96">
        <v>1</v>
      </c>
      <c r="S41" s="58">
        <v>0.25269999999999998</v>
      </c>
      <c r="T41" s="58">
        <v>0.23769999999999999</v>
      </c>
      <c r="U41" s="96">
        <v>1</v>
      </c>
      <c r="V41" s="58">
        <v>0.1196</v>
      </c>
      <c r="W41" s="58">
        <v>0.1123</v>
      </c>
      <c r="X41" s="96">
        <v>1.5</v>
      </c>
      <c r="Y41" s="58">
        <v>0.26269999999999999</v>
      </c>
      <c r="Z41" s="58">
        <v>0.26390000000000002</v>
      </c>
      <c r="AA41" s="96">
        <v>1</v>
      </c>
      <c r="AB41" s="58">
        <v>7.5999999999999998E-2</v>
      </c>
      <c r="AC41" s="58">
        <v>8.1199999999999994E-2</v>
      </c>
      <c r="AD41" s="59">
        <v>2</v>
      </c>
      <c r="AE41" s="58">
        <v>0.69869999999999999</v>
      </c>
      <c r="AF41" s="58">
        <v>0.68440000000000001</v>
      </c>
      <c r="AG41" s="59">
        <v>3</v>
      </c>
      <c r="AH41" s="58">
        <v>1</v>
      </c>
      <c r="AI41" s="58">
        <v>1</v>
      </c>
      <c r="AJ41" s="59">
        <v>0</v>
      </c>
      <c r="AK41" s="58">
        <v>6.9500000000000006E-2</v>
      </c>
      <c r="AL41" s="58">
        <v>0.1605</v>
      </c>
      <c r="AM41" s="59">
        <v>3</v>
      </c>
      <c r="AN41" s="58">
        <v>0.24</v>
      </c>
      <c r="AO41" s="58">
        <v>0.42699999999999999</v>
      </c>
      <c r="AP41" s="101">
        <v>1</v>
      </c>
      <c r="AQ41" s="4">
        <v>40</v>
      </c>
      <c r="AR41" s="4"/>
    </row>
    <row r="42" spans="1:44" x14ac:dyDescent="0.25">
      <c r="A42" s="1" t="s">
        <v>60</v>
      </c>
      <c r="B42" s="2" t="s">
        <v>191</v>
      </c>
      <c r="C42" s="2" t="s">
        <v>259</v>
      </c>
      <c r="D42" s="2" t="s">
        <v>153</v>
      </c>
      <c r="E42" s="3">
        <v>29648</v>
      </c>
      <c r="F42" s="59">
        <v>2</v>
      </c>
      <c r="G42" s="59">
        <v>2</v>
      </c>
      <c r="H42" s="59">
        <v>2</v>
      </c>
      <c r="I42" s="59">
        <v>2</v>
      </c>
      <c r="J42" s="59">
        <v>1</v>
      </c>
      <c r="K42" s="59">
        <v>2</v>
      </c>
      <c r="L42" s="59">
        <v>2</v>
      </c>
      <c r="M42" s="59">
        <v>2</v>
      </c>
      <c r="N42" s="59">
        <v>2</v>
      </c>
      <c r="O42" s="121">
        <v>2</v>
      </c>
      <c r="P42" s="58">
        <v>0.21879999999999999</v>
      </c>
      <c r="Q42" s="58">
        <v>0.56759999999999999</v>
      </c>
      <c r="R42" s="96">
        <v>0</v>
      </c>
      <c r="S42" s="58">
        <v>0.22969999999999999</v>
      </c>
      <c r="T42" s="58">
        <v>0.127</v>
      </c>
      <c r="U42" s="96">
        <v>0.5</v>
      </c>
      <c r="V42" s="58">
        <v>2.86E-2</v>
      </c>
      <c r="W42" s="58">
        <v>6.25E-2</v>
      </c>
      <c r="X42" s="96">
        <v>0</v>
      </c>
      <c r="Y42" s="58">
        <v>0.17810000000000001</v>
      </c>
      <c r="Z42" s="58">
        <v>0.17460000000000001</v>
      </c>
      <c r="AA42" s="96">
        <v>0</v>
      </c>
      <c r="AB42" s="58">
        <v>5.7099999999999998E-2</v>
      </c>
      <c r="AC42" s="58">
        <v>0.05</v>
      </c>
      <c r="AD42" s="59">
        <v>1</v>
      </c>
      <c r="AE42" s="58">
        <v>0.48049999999999998</v>
      </c>
      <c r="AF42" s="58">
        <v>0.51319999999999999</v>
      </c>
      <c r="AG42" s="59">
        <v>3</v>
      </c>
      <c r="AH42" s="58">
        <v>1</v>
      </c>
      <c r="AI42" s="58">
        <v>1</v>
      </c>
      <c r="AJ42" s="59">
        <v>0</v>
      </c>
      <c r="AK42" s="58">
        <v>0.14510000000000001</v>
      </c>
      <c r="AL42" s="58">
        <v>0.20349999999999999</v>
      </c>
      <c r="AM42" s="59">
        <v>1</v>
      </c>
      <c r="AN42" s="58">
        <v>0.16</v>
      </c>
      <c r="AO42" s="58">
        <v>0.189</v>
      </c>
      <c r="AP42" s="101">
        <v>1</v>
      </c>
      <c r="AQ42" s="4">
        <v>40</v>
      </c>
      <c r="AR42" s="4"/>
    </row>
    <row r="43" spans="1:44" x14ac:dyDescent="0.25">
      <c r="A43" s="1" t="s">
        <v>61</v>
      </c>
      <c r="B43" s="2" t="s">
        <v>192</v>
      </c>
      <c r="C43" s="2" t="s">
        <v>260</v>
      </c>
      <c r="D43" s="2" t="s">
        <v>153</v>
      </c>
      <c r="E43" s="3">
        <v>29692</v>
      </c>
      <c r="F43" s="59">
        <v>2</v>
      </c>
      <c r="G43" s="59">
        <v>2</v>
      </c>
      <c r="H43" s="59">
        <v>2</v>
      </c>
      <c r="I43" s="59">
        <v>2</v>
      </c>
      <c r="J43" s="59">
        <v>2</v>
      </c>
      <c r="K43" s="59">
        <v>2</v>
      </c>
      <c r="L43" s="59">
        <v>2</v>
      </c>
      <c r="M43" s="59">
        <v>2</v>
      </c>
      <c r="N43" s="59">
        <v>2</v>
      </c>
      <c r="O43" s="121">
        <v>0</v>
      </c>
      <c r="P43" s="58">
        <v>0.66669999999999996</v>
      </c>
      <c r="Q43" s="58">
        <v>0</v>
      </c>
      <c r="R43" s="96">
        <v>0</v>
      </c>
      <c r="S43" s="58">
        <v>0.22220000000000001</v>
      </c>
      <c r="T43" s="58">
        <v>5.5599999999999997E-2</v>
      </c>
      <c r="U43" s="96">
        <v>1.5</v>
      </c>
      <c r="V43" s="58">
        <v>0.25</v>
      </c>
      <c r="W43" s="58">
        <v>0.4</v>
      </c>
      <c r="X43" s="96">
        <v>0.5</v>
      </c>
      <c r="Y43" s="58">
        <v>0</v>
      </c>
      <c r="Z43" s="58">
        <v>0.1111</v>
      </c>
      <c r="AA43" s="96">
        <v>1.5</v>
      </c>
      <c r="AB43" s="58">
        <v>0</v>
      </c>
      <c r="AC43" s="58">
        <v>0.4</v>
      </c>
      <c r="AD43" s="59">
        <v>2</v>
      </c>
      <c r="AE43" s="58">
        <v>0.66869999999999996</v>
      </c>
      <c r="AF43" s="58">
        <v>0.63500000000000001</v>
      </c>
      <c r="AG43" s="59">
        <v>3</v>
      </c>
      <c r="AH43" s="58">
        <v>1</v>
      </c>
      <c r="AI43" s="58">
        <v>1</v>
      </c>
      <c r="AJ43" s="59">
        <v>0</v>
      </c>
      <c r="AK43" s="58">
        <v>0.1104</v>
      </c>
      <c r="AL43" s="58">
        <v>0.15890000000000001</v>
      </c>
      <c r="AM43" s="59">
        <v>1</v>
      </c>
      <c r="AN43" s="58">
        <v>9.0999999999999998E-2</v>
      </c>
      <c r="AO43" s="58">
        <v>0.27300000000000002</v>
      </c>
      <c r="AP43" s="101">
        <v>1</v>
      </c>
      <c r="AQ43" s="4">
        <v>40</v>
      </c>
      <c r="AR43" s="4"/>
    </row>
    <row r="44" spans="1:44" x14ac:dyDescent="0.25">
      <c r="A44" s="1" t="s">
        <v>62</v>
      </c>
      <c r="B44" s="2" t="s">
        <v>193</v>
      </c>
      <c r="C44" s="2" t="s">
        <v>261</v>
      </c>
      <c r="D44" s="2" t="s">
        <v>153</v>
      </c>
      <c r="E44" s="3">
        <v>29666</v>
      </c>
      <c r="F44" s="59">
        <v>2</v>
      </c>
      <c r="G44" s="59">
        <v>2</v>
      </c>
      <c r="H44" s="59">
        <v>2</v>
      </c>
      <c r="I44" s="59">
        <v>2</v>
      </c>
      <c r="J44" s="59">
        <v>2</v>
      </c>
      <c r="K44" s="59">
        <v>2</v>
      </c>
      <c r="L44" s="59">
        <v>2</v>
      </c>
      <c r="M44" s="59">
        <v>2</v>
      </c>
      <c r="N44" s="59">
        <v>2</v>
      </c>
      <c r="O44" s="121">
        <v>0</v>
      </c>
      <c r="P44" s="58">
        <v>0.77780000000000005</v>
      </c>
      <c r="Q44" s="58">
        <v>0.25</v>
      </c>
      <c r="R44" s="96">
        <v>1</v>
      </c>
      <c r="S44" s="58">
        <v>0.23530000000000001</v>
      </c>
      <c r="T44" s="58">
        <v>0.2273</v>
      </c>
      <c r="U44" s="96">
        <v>0</v>
      </c>
      <c r="V44" s="58">
        <v>6.25E-2</v>
      </c>
      <c r="W44" s="58">
        <v>6.25E-2</v>
      </c>
      <c r="X44" s="96">
        <v>1.5</v>
      </c>
      <c r="Y44" s="58">
        <v>0.4118</v>
      </c>
      <c r="Z44" s="58">
        <v>0.36359999999999998</v>
      </c>
      <c r="AA44" s="96">
        <v>0</v>
      </c>
      <c r="AB44" s="58">
        <v>6.25E-2</v>
      </c>
      <c r="AC44" s="58">
        <v>0</v>
      </c>
      <c r="AD44" s="59">
        <v>1</v>
      </c>
      <c r="AE44" s="58">
        <v>0.49130000000000001</v>
      </c>
      <c r="AF44" s="58">
        <v>0.57869999999999999</v>
      </c>
      <c r="AG44" s="59">
        <v>3</v>
      </c>
      <c r="AH44" s="58">
        <v>1</v>
      </c>
      <c r="AI44" s="58">
        <v>1</v>
      </c>
      <c r="AJ44" s="59">
        <v>0</v>
      </c>
      <c r="AK44" s="58">
        <v>7.51E-2</v>
      </c>
      <c r="AL44" s="58">
        <v>0.22040000000000001</v>
      </c>
      <c r="AM44" s="59">
        <v>2</v>
      </c>
      <c r="AN44" s="58">
        <v>0.25</v>
      </c>
      <c r="AO44" s="58">
        <v>0.38500000000000001</v>
      </c>
      <c r="AP44" s="101">
        <v>1</v>
      </c>
      <c r="AQ44" s="4">
        <v>40</v>
      </c>
      <c r="AR44" s="4"/>
    </row>
    <row r="45" spans="1:44" x14ac:dyDescent="0.25">
      <c r="A45" s="1" t="s">
        <v>455</v>
      </c>
      <c r="B45" s="2" t="s">
        <v>462</v>
      </c>
      <c r="C45" s="2" t="s">
        <v>262</v>
      </c>
      <c r="D45" s="2" t="s">
        <v>153</v>
      </c>
      <c r="E45" s="3">
        <v>29944</v>
      </c>
      <c r="F45" s="59">
        <v>2</v>
      </c>
      <c r="G45" s="59">
        <v>2</v>
      </c>
      <c r="H45" s="59">
        <v>2</v>
      </c>
      <c r="I45" s="59">
        <v>2</v>
      </c>
      <c r="J45" s="59">
        <v>1</v>
      </c>
      <c r="K45" s="59">
        <v>1</v>
      </c>
      <c r="L45" s="59">
        <v>2</v>
      </c>
      <c r="M45" s="59">
        <v>2</v>
      </c>
      <c r="N45" s="59">
        <v>2</v>
      </c>
      <c r="O45" s="121">
        <v>3</v>
      </c>
      <c r="P45" s="58">
        <v>0.33329999999999999</v>
      </c>
      <c r="Q45" s="58">
        <v>0.7</v>
      </c>
      <c r="R45" s="96">
        <v>0.5</v>
      </c>
      <c r="S45" s="58">
        <v>0.15</v>
      </c>
      <c r="T45" s="58">
        <v>0.16</v>
      </c>
      <c r="U45" s="96">
        <v>1.5</v>
      </c>
      <c r="V45" s="58">
        <v>0</v>
      </c>
      <c r="W45" s="58">
        <v>0.18179999999999999</v>
      </c>
      <c r="X45" s="96">
        <v>1.5</v>
      </c>
      <c r="Y45" s="58">
        <v>0.21049999999999999</v>
      </c>
      <c r="Z45" s="58">
        <v>0.23080000000000001</v>
      </c>
      <c r="AA45" s="96">
        <v>1.5</v>
      </c>
      <c r="AB45" s="58">
        <v>0.04</v>
      </c>
      <c r="AC45" s="58">
        <v>0.15</v>
      </c>
      <c r="AD45" s="59">
        <v>3</v>
      </c>
      <c r="AE45" s="58">
        <v>0.7117</v>
      </c>
      <c r="AF45" s="58">
        <v>0.70230000000000004</v>
      </c>
      <c r="AG45" s="59">
        <v>3</v>
      </c>
      <c r="AH45" s="58">
        <v>1</v>
      </c>
      <c r="AI45" s="58">
        <v>1</v>
      </c>
      <c r="AJ45" s="59">
        <v>2</v>
      </c>
      <c r="AK45" s="58">
        <v>0.10680000000000001</v>
      </c>
      <c r="AL45" s="58">
        <v>0.1404</v>
      </c>
      <c r="AM45" s="59">
        <v>0</v>
      </c>
      <c r="AN45" s="58">
        <v>0.66700000000000004</v>
      </c>
      <c r="AO45" s="58">
        <v>0.28599999999999998</v>
      </c>
      <c r="AP45" s="101">
        <v>1</v>
      </c>
      <c r="AQ45" s="4">
        <v>40</v>
      </c>
      <c r="AR45" s="4"/>
    </row>
    <row r="46" spans="1:44" x14ac:dyDescent="0.25">
      <c r="A46" s="1" t="s">
        <v>63</v>
      </c>
      <c r="B46" s="2" t="s">
        <v>194</v>
      </c>
      <c r="C46" s="2" t="s">
        <v>263</v>
      </c>
      <c r="D46" s="2" t="s">
        <v>153</v>
      </c>
      <c r="E46" s="3">
        <v>29526</v>
      </c>
      <c r="F46" s="59">
        <v>2</v>
      </c>
      <c r="G46" s="59">
        <v>2</v>
      </c>
      <c r="H46" s="59">
        <v>2</v>
      </c>
      <c r="I46" s="59">
        <v>2</v>
      </c>
      <c r="J46" s="59">
        <v>1</v>
      </c>
      <c r="K46" s="59">
        <v>2</v>
      </c>
      <c r="L46" s="59">
        <v>2</v>
      </c>
      <c r="M46" s="59">
        <v>2</v>
      </c>
      <c r="N46" s="59">
        <v>2</v>
      </c>
      <c r="O46" s="121">
        <v>2</v>
      </c>
      <c r="P46" s="58">
        <v>0.39479999999999998</v>
      </c>
      <c r="Q46" s="58">
        <v>0.55930000000000002</v>
      </c>
      <c r="R46" s="96">
        <v>1</v>
      </c>
      <c r="S46" s="58">
        <v>0.21390000000000001</v>
      </c>
      <c r="T46" s="58">
        <v>0.21779999999999999</v>
      </c>
      <c r="U46" s="96">
        <v>1</v>
      </c>
      <c r="V46" s="58">
        <v>0.1099</v>
      </c>
      <c r="W46" s="58">
        <v>0.1055</v>
      </c>
      <c r="X46" s="96">
        <v>0</v>
      </c>
      <c r="Y46" s="58">
        <v>0.20319999999999999</v>
      </c>
      <c r="Z46" s="58">
        <v>0.19570000000000001</v>
      </c>
      <c r="AA46" s="96">
        <v>0</v>
      </c>
      <c r="AB46" s="58">
        <v>0.1062</v>
      </c>
      <c r="AC46" s="58">
        <v>6.9199999999999998E-2</v>
      </c>
      <c r="AD46" s="59">
        <v>0</v>
      </c>
      <c r="AE46" s="58">
        <v>0.5585</v>
      </c>
      <c r="AF46" s="58">
        <v>0.53269999999999995</v>
      </c>
      <c r="AG46" s="59">
        <v>3</v>
      </c>
      <c r="AH46" s="58">
        <v>1</v>
      </c>
      <c r="AI46" s="58">
        <v>1</v>
      </c>
      <c r="AJ46" s="59">
        <v>0</v>
      </c>
      <c r="AK46" s="58">
        <v>8.9399999999999993E-2</v>
      </c>
      <c r="AL46" s="58">
        <v>0.21690000000000001</v>
      </c>
      <c r="AM46" s="59">
        <v>2</v>
      </c>
      <c r="AN46" s="58">
        <v>0.222</v>
      </c>
      <c r="AO46" s="58">
        <v>0.36899999999999999</v>
      </c>
      <c r="AP46" s="101">
        <v>1</v>
      </c>
      <c r="AQ46" s="4">
        <v>40</v>
      </c>
      <c r="AR46" s="4"/>
    </row>
    <row r="47" spans="1:44" x14ac:dyDescent="0.25">
      <c r="A47" s="1" t="s">
        <v>64</v>
      </c>
      <c r="B47" s="2" t="s">
        <v>195</v>
      </c>
      <c r="C47" s="2" t="s">
        <v>264</v>
      </c>
      <c r="D47" s="2" t="s">
        <v>153</v>
      </c>
      <c r="E47" s="3">
        <v>29936</v>
      </c>
      <c r="F47" s="59">
        <v>2</v>
      </c>
      <c r="G47" s="59">
        <v>2</v>
      </c>
      <c r="H47" s="59">
        <v>2</v>
      </c>
      <c r="I47" s="59">
        <v>2</v>
      </c>
      <c r="J47" s="59">
        <v>2</v>
      </c>
      <c r="K47" s="59">
        <v>2</v>
      </c>
      <c r="L47" s="59">
        <v>2</v>
      </c>
      <c r="M47" s="59">
        <v>2</v>
      </c>
      <c r="N47" s="59">
        <v>2</v>
      </c>
      <c r="O47" s="121">
        <v>3</v>
      </c>
      <c r="P47" s="58">
        <v>0</v>
      </c>
      <c r="Q47" s="58">
        <v>0.83330000000000004</v>
      </c>
      <c r="R47" s="96">
        <v>1</v>
      </c>
      <c r="S47" s="58">
        <v>9.5200000000000007E-2</v>
      </c>
      <c r="T47" s="58">
        <v>0.23810000000000001</v>
      </c>
      <c r="U47" s="96">
        <v>1</v>
      </c>
      <c r="V47" s="58">
        <v>5.5599999999999997E-2</v>
      </c>
      <c r="W47" s="58">
        <v>0.1333</v>
      </c>
      <c r="X47" s="96">
        <v>0</v>
      </c>
      <c r="Y47" s="58">
        <v>9.5200000000000007E-2</v>
      </c>
      <c r="Z47" s="58">
        <v>4.7600000000000003E-2</v>
      </c>
      <c r="AA47" s="96">
        <v>1.5</v>
      </c>
      <c r="AB47" s="58">
        <v>5.2600000000000001E-2</v>
      </c>
      <c r="AC47" s="58">
        <v>0.28570000000000001</v>
      </c>
      <c r="AD47" s="59">
        <v>1</v>
      </c>
      <c r="AE47" s="58">
        <v>0.44629999999999997</v>
      </c>
      <c r="AF47" s="58">
        <v>0.56720000000000004</v>
      </c>
      <c r="AG47" s="59">
        <v>3</v>
      </c>
      <c r="AH47" s="58">
        <v>1</v>
      </c>
      <c r="AI47" s="58">
        <v>1</v>
      </c>
      <c r="AJ47" s="59">
        <v>3</v>
      </c>
      <c r="AK47" s="58">
        <v>2.07E-2</v>
      </c>
      <c r="AL47" s="58">
        <v>8.2000000000000003E-2</v>
      </c>
      <c r="AM47" s="59">
        <v>3</v>
      </c>
      <c r="AN47" s="58">
        <v>0.17599999999999999</v>
      </c>
      <c r="AO47" s="58">
        <v>0.42899999999999999</v>
      </c>
      <c r="AP47" s="101">
        <v>1</v>
      </c>
      <c r="AQ47" s="4">
        <v>40</v>
      </c>
      <c r="AR47" s="4"/>
    </row>
    <row r="48" spans="1:44" x14ac:dyDescent="0.25">
      <c r="A48" s="1" t="s">
        <v>65</v>
      </c>
      <c r="B48" s="2" t="s">
        <v>196</v>
      </c>
      <c r="C48" s="2" t="s">
        <v>265</v>
      </c>
      <c r="D48" s="2" t="s">
        <v>153</v>
      </c>
      <c r="E48" s="3">
        <v>29020</v>
      </c>
      <c r="F48" s="59">
        <v>2</v>
      </c>
      <c r="G48" s="59">
        <v>2</v>
      </c>
      <c r="H48" s="59">
        <v>1</v>
      </c>
      <c r="I48" s="59">
        <v>2</v>
      </c>
      <c r="J48" s="59">
        <v>1</v>
      </c>
      <c r="K48" s="59">
        <v>2</v>
      </c>
      <c r="L48" s="59">
        <v>2</v>
      </c>
      <c r="M48" s="59">
        <v>2</v>
      </c>
      <c r="N48" s="59">
        <v>2</v>
      </c>
      <c r="O48" s="121">
        <v>0</v>
      </c>
      <c r="P48" s="58">
        <v>0.6</v>
      </c>
      <c r="Q48" s="58">
        <v>0.45119999999999999</v>
      </c>
      <c r="R48" s="96">
        <v>1.5</v>
      </c>
      <c r="S48" s="58">
        <v>0.21010000000000001</v>
      </c>
      <c r="T48" s="58">
        <v>0.2676</v>
      </c>
      <c r="U48" s="96">
        <v>1</v>
      </c>
      <c r="V48" s="58">
        <v>0.1176</v>
      </c>
      <c r="W48" s="58">
        <v>0.11849999999999999</v>
      </c>
      <c r="X48" s="96">
        <v>1.5</v>
      </c>
      <c r="Y48" s="58">
        <v>0.15970000000000001</v>
      </c>
      <c r="Z48" s="58">
        <v>0.23080000000000001</v>
      </c>
      <c r="AA48" s="96">
        <v>0</v>
      </c>
      <c r="AB48" s="58">
        <v>5.0500000000000003E-2</v>
      </c>
      <c r="AC48" s="58">
        <v>3.6499999999999998E-2</v>
      </c>
      <c r="AD48" s="59">
        <v>1</v>
      </c>
      <c r="AE48" s="58">
        <v>0.50880000000000003</v>
      </c>
      <c r="AF48" s="58">
        <v>0.53969999999999996</v>
      </c>
      <c r="AG48" s="59">
        <v>3</v>
      </c>
      <c r="AH48" s="58">
        <v>1</v>
      </c>
      <c r="AI48" s="58">
        <v>1</v>
      </c>
      <c r="AJ48" s="59">
        <v>2</v>
      </c>
      <c r="AK48" s="58">
        <v>8.8099999999999998E-2</v>
      </c>
      <c r="AL48" s="58">
        <v>0.13569999999999999</v>
      </c>
      <c r="AM48" s="59">
        <v>2</v>
      </c>
      <c r="AN48" s="58">
        <v>0.315</v>
      </c>
      <c r="AO48" s="58">
        <v>0.36699999999999999</v>
      </c>
      <c r="AP48" s="101">
        <v>1</v>
      </c>
      <c r="AQ48" s="4">
        <v>40</v>
      </c>
      <c r="AR48" s="4"/>
    </row>
    <row r="49" spans="1:44" x14ac:dyDescent="0.25">
      <c r="A49" s="1" t="s">
        <v>66</v>
      </c>
      <c r="B49" s="2" t="s">
        <v>197</v>
      </c>
      <c r="C49" s="2" t="s">
        <v>66</v>
      </c>
      <c r="D49" s="2" t="s">
        <v>153</v>
      </c>
      <c r="E49" s="3">
        <v>29720</v>
      </c>
      <c r="F49" s="59">
        <v>2</v>
      </c>
      <c r="G49" s="59">
        <v>2</v>
      </c>
      <c r="H49" s="59">
        <v>2</v>
      </c>
      <c r="I49" s="59">
        <v>2</v>
      </c>
      <c r="J49" s="59">
        <v>1</v>
      </c>
      <c r="K49" s="59">
        <v>2</v>
      </c>
      <c r="L49" s="59">
        <v>2</v>
      </c>
      <c r="M49" s="59">
        <v>2</v>
      </c>
      <c r="N49" s="59">
        <v>2</v>
      </c>
      <c r="O49" s="121">
        <v>0</v>
      </c>
      <c r="P49" s="58">
        <v>0.55120000000000002</v>
      </c>
      <c r="Q49" s="58">
        <v>0.51049999999999995</v>
      </c>
      <c r="R49" s="96">
        <v>0.5</v>
      </c>
      <c r="S49" s="58">
        <v>0.1608</v>
      </c>
      <c r="T49" s="58">
        <v>0.17680000000000001</v>
      </c>
      <c r="U49" s="96">
        <v>1</v>
      </c>
      <c r="V49" s="58">
        <v>5.9799999999999999E-2</v>
      </c>
      <c r="W49" s="58">
        <v>0.12</v>
      </c>
      <c r="X49" s="96">
        <v>1.5</v>
      </c>
      <c r="Y49" s="58">
        <v>0.22220000000000001</v>
      </c>
      <c r="Z49" s="58">
        <v>0.23760000000000001</v>
      </c>
      <c r="AA49" s="96">
        <v>1</v>
      </c>
      <c r="AB49" s="58">
        <v>6.6100000000000006E-2</v>
      </c>
      <c r="AC49" s="58">
        <v>8.6699999999999999E-2</v>
      </c>
      <c r="AD49" s="59">
        <v>0</v>
      </c>
      <c r="AE49" s="58">
        <v>0.57130000000000003</v>
      </c>
      <c r="AF49" s="58">
        <v>0.56079999999999997</v>
      </c>
      <c r="AG49" s="59">
        <v>3</v>
      </c>
      <c r="AH49" s="58">
        <v>1</v>
      </c>
      <c r="AI49" s="58">
        <v>1</v>
      </c>
      <c r="AJ49" s="59">
        <v>0</v>
      </c>
      <c r="AK49" s="58">
        <v>7.1499999999999994E-2</v>
      </c>
      <c r="AL49" s="58">
        <v>0.18379999999999999</v>
      </c>
      <c r="AM49" s="59">
        <v>1</v>
      </c>
      <c r="AN49" s="58">
        <v>0.19900000000000001</v>
      </c>
      <c r="AO49" s="58">
        <v>0.28000000000000003</v>
      </c>
      <c r="AP49" s="101">
        <v>1</v>
      </c>
      <c r="AQ49" s="4">
        <v>40</v>
      </c>
      <c r="AR49" s="4"/>
    </row>
    <row r="50" spans="1:44" x14ac:dyDescent="0.25">
      <c r="A50" s="1" t="s">
        <v>67</v>
      </c>
      <c r="B50" s="2" t="s">
        <v>198</v>
      </c>
      <c r="C50" s="2" t="s">
        <v>266</v>
      </c>
      <c r="D50" s="2" t="s">
        <v>153</v>
      </c>
      <c r="E50" s="3">
        <v>29360</v>
      </c>
      <c r="F50" s="59">
        <v>2</v>
      </c>
      <c r="G50" s="59">
        <v>2</v>
      </c>
      <c r="H50" s="59">
        <v>1</v>
      </c>
      <c r="I50" s="59">
        <v>2</v>
      </c>
      <c r="J50" s="59">
        <v>1</v>
      </c>
      <c r="K50" s="59">
        <v>2</v>
      </c>
      <c r="L50" s="59">
        <v>2</v>
      </c>
      <c r="M50" s="59">
        <v>2</v>
      </c>
      <c r="N50" s="59">
        <v>2</v>
      </c>
      <c r="O50" s="121">
        <v>2</v>
      </c>
      <c r="P50" s="58">
        <v>0.44230000000000003</v>
      </c>
      <c r="Q50" s="58">
        <v>0.62260000000000004</v>
      </c>
      <c r="R50" s="96">
        <v>0</v>
      </c>
      <c r="S50" s="58">
        <v>0.13850000000000001</v>
      </c>
      <c r="T50" s="58">
        <v>0.1111</v>
      </c>
      <c r="U50" s="96">
        <v>0</v>
      </c>
      <c r="V50" s="58">
        <v>7.8100000000000003E-2</v>
      </c>
      <c r="W50" s="58">
        <v>6.1499999999999999E-2</v>
      </c>
      <c r="X50" s="96">
        <v>0</v>
      </c>
      <c r="Y50" s="58">
        <v>0.16420000000000001</v>
      </c>
      <c r="Z50" s="58">
        <v>7.6899999999999996E-2</v>
      </c>
      <c r="AA50" s="96">
        <v>0</v>
      </c>
      <c r="AB50" s="58">
        <v>4.7600000000000003E-2</v>
      </c>
      <c r="AC50" s="58">
        <v>4.6199999999999998E-2</v>
      </c>
      <c r="AD50" s="59">
        <v>0</v>
      </c>
      <c r="AE50" s="58">
        <v>0.65210000000000001</v>
      </c>
      <c r="AF50" s="58">
        <v>0.60970000000000002</v>
      </c>
      <c r="AG50" s="59">
        <v>3</v>
      </c>
      <c r="AH50" s="58">
        <v>1</v>
      </c>
      <c r="AI50" s="58">
        <v>1</v>
      </c>
      <c r="AJ50" s="59">
        <v>2</v>
      </c>
      <c r="AK50" s="58">
        <v>7.9899999999999999E-2</v>
      </c>
      <c r="AL50" s="58">
        <v>9.7500000000000003E-2</v>
      </c>
      <c r="AM50" s="59">
        <v>1</v>
      </c>
      <c r="AN50" s="58">
        <v>0.13800000000000001</v>
      </c>
      <c r="AO50" s="58">
        <v>0.25700000000000001</v>
      </c>
      <c r="AP50" s="101">
        <v>1</v>
      </c>
      <c r="AQ50" s="4">
        <v>40</v>
      </c>
      <c r="AR50" s="4"/>
    </row>
    <row r="51" spans="1:44" x14ac:dyDescent="0.25">
      <c r="A51" s="1" t="s">
        <v>68</v>
      </c>
      <c r="B51" s="2" t="s">
        <v>199</v>
      </c>
      <c r="C51" s="2" t="s">
        <v>267</v>
      </c>
      <c r="D51" s="2" t="s">
        <v>153</v>
      </c>
      <c r="E51" s="3">
        <v>29325</v>
      </c>
      <c r="F51" s="59">
        <v>2</v>
      </c>
      <c r="G51" s="59">
        <v>2</v>
      </c>
      <c r="H51" s="59">
        <v>2</v>
      </c>
      <c r="I51" s="59">
        <v>2</v>
      </c>
      <c r="J51" s="59">
        <v>2</v>
      </c>
      <c r="K51" s="59">
        <v>2</v>
      </c>
      <c r="L51" s="59">
        <v>2</v>
      </c>
      <c r="M51" s="59">
        <v>2</v>
      </c>
      <c r="N51" s="59">
        <v>2</v>
      </c>
      <c r="O51" s="121">
        <v>0</v>
      </c>
      <c r="P51" s="58">
        <v>0.58330000000000004</v>
      </c>
      <c r="Q51" s="58">
        <v>0.33329999999999999</v>
      </c>
      <c r="R51" s="96">
        <v>0</v>
      </c>
      <c r="S51" s="58">
        <v>0.12770000000000001</v>
      </c>
      <c r="T51" s="58">
        <v>3.3300000000000003E-2</v>
      </c>
      <c r="U51" s="96">
        <v>0.5</v>
      </c>
      <c r="V51" s="58">
        <v>3.4500000000000003E-2</v>
      </c>
      <c r="W51" s="58">
        <v>5.5599999999999997E-2</v>
      </c>
      <c r="X51" s="96">
        <v>0</v>
      </c>
      <c r="Y51" s="58">
        <v>0.19570000000000001</v>
      </c>
      <c r="Z51" s="58">
        <v>0.1</v>
      </c>
      <c r="AA51" s="96">
        <v>0.5</v>
      </c>
      <c r="AB51" s="58">
        <v>0</v>
      </c>
      <c r="AC51" s="58">
        <v>2.7799999999999998E-2</v>
      </c>
      <c r="AD51" s="59">
        <v>1</v>
      </c>
      <c r="AE51" s="58">
        <v>0.5706</v>
      </c>
      <c r="AF51" s="58">
        <v>0.61080000000000001</v>
      </c>
      <c r="AG51" s="59">
        <v>3</v>
      </c>
      <c r="AH51" s="58">
        <v>1</v>
      </c>
      <c r="AI51" s="58">
        <v>1</v>
      </c>
      <c r="AJ51" s="59">
        <v>0</v>
      </c>
      <c r="AK51" s="58">
        <v>0.1022</v>
      </c>
      <c r="AL51" s="58">
        <v>0.1928</v>
      </c>
      <c r="AM51" s="59">
        <v>1</v>
      </c>
      <c r="AN51" s="58">
        <v>0.2</v>
      </c>
      <c r="AO51" s="58">
        <v>0.27500000000000002</v>
      </c>
      <c r="AP51" s="101">
        <v>1</v>
      </c>
      <c r="AQ51" s="4">
        <v>40</v>
      </c>
      <c r="AR51" s="4"/>
    </row>
    <row r="52" spans="1:44" x14ac:dyDescent="0.25">
      <c r="A52" s="1" t="s">
        <v>69</v>
      </c>
      <c r="B52" s="2" t="s">
        <v>200</v>
      </c>
      <c r="C52" s="2" t="s">
        <v>268</v>
      </c>
      <c r="D52" s="2" t="s">
        <v>153</v>
      </c>
      <c r="E52" s="3">
        <v>29010</v>
      </c>
      <c r="F52" s="59">
        <v>2</v>
      </c>
      <c r="G52" s="59">
        <v>2</v>
      </c>
      <c r="H52" s="59">
        <v>1</v>
      </c>
      <c r="I52" s="59">
        <v>2</v>
      </c>
      <c r="J52" s="59">
        <v>2</v>
      </c>
      <c r="K52" s="59">
        <v>2</v>
      </c>
      <c r="L52" s="59">
        <v>2</v>
      </c>
      <c r="M52" s="59">
        <v>2</v>
      </c>
      <c r="N52" s="59">
        <v>2</v>
      </c>
      <c r="O52" s="121">
        <v>3</v>
      </c>
      <c r="P52" s="58">
        <v>0.66669999999999996</v>
      </c>
      <c r="Q52" s="58">
        <v>0.77780000000000005</v>
      </c>
      <c r="R52" s="96">
        <v>0</v>
      </c>
      <c r="S52" s="58">
        <v>0.2</v>
      </c>
      <c r="T52" s="58">
        <v>6.25E-2</v>
      </c>
      <c r="U52" s="96">
        <v>1</v>
      </c>
      <c r="V52" s="58">
        <v>0</v>
      </c>
      <c r="W52" s="58">
        <v>0.1111</v>
      </c>
      <c r="X52" s="96">
        <v>0</v>
      </c>
      <c r="Y52" s="58">
        <v>0.4</v>
      </c>
      <c r="Z52" s="58">
        <v>0</v>
      </c>
      <c r="AA52" s="96">
        <v>0.5</v>
      </c>
      <c r="AB52" s="58">
        <v>0</v>
      </c>
      <c r="AC52" s="58">
        <v>5.2600000000000001E-2</v>
      </c>
      <c r="AD52" s="59">
        <v>0</v>
      </c>
      <c r="AE52" s="58">
        <v>0.45100000000000001</v>
      </c>
      <c r="AF52" s="58">
        <v>0.39229999999999998</v>
      </c>
      <c r="AG52" s="59">
        <v>3</v>
      </c>
      <c r="AH52" s="58">
        <v>1</v>
      </c>
      <c r="AI52" s="58">
        <v>1</v>
      </c>
      <c r="AJ52" s="59">
        <v>0</v>
      </c>
      <c r="AK52" s="58">
        <v>9.7999999999999997E-3</v>
      </c>
      <c r="AL52" s="58">
        <v>0.43319999999999997</v>
      </c>
      <c r="AM52" s="59">
        <v>1</v>
      </c>
      <c r="AN52" s="58">
        <v>4.2000000000000003E-2</v>
      </c>
      <c r="AO52" s="58">
        <v>0.17199999999999999</v>
      </c>
      <c r="AP52" s="101">
        <v>1</v>
      </c>
      <c r="AQ52" s="4">
        <v>40</v>
      </c>
      <c r="AR52" s="4"/>
    </row>
    <row r="53" spans="1:44" x14ac:dyDescent="0.25">
      <c r="A53" s="1" t="s">
        <v>70</v>
      </c>
      <c r="B53" s="2" t="s">
        <v>201</v>
      </c>
      <c r="C53" s="2" t="s">
        <v>269</v>
      </c>
      <c r="D53" s="2" t="s">
        <v>153</v>
      </c>
      <c r="E53" s="3">
        <v>29072</v>
      </c>
      <c r="F53" s="59">
        <v>2</v>
      </c>
      <c r="G53" s="59">
        <v>2</v>
      </c>
      <c r="H53" s="59">
        <v>2</v>
      </c>
      <c r="I53" s="59">
        <v>2</v>
      </c>
      <c r="J53" s="59">
        <v>1</v>
      </c>
      <c r="K53" s="59">
        <v>2</v>
      </c>
      <c r="L53" s="59">
        <v>2</v>
      </c>
      <c r="M53" s="59">
        <v>2</v>
      </c>
      <c r="N53" s="59">
        <v>2</v>
      </c>
      <c r="O53" s="121">
        <v>2</v>
      </c>
      <c r="P53" s="58">
        <v>0.53990000000000005</v>
      </c>
      <c r="Q53" s="58">
        <v>0.61360000000000003</v>
      </c>
      <c r="R53" s="96">
        <v>1</v>
      </c>
      <c r="S53" s="58">
        <v>0.1804</v>
      </c>
      <c r="T53" s="58">
        <v>0.2082</v>
      </c>
      <c r="U53" s="96">
        <v>0</v>
      </c>
      <c r="V53" s="58">
        <v>0.1085</v>
      </c>
      <c r="W53" s="58">
        <v>7.6600000000000001E-2</v>
      </c>
      <c r="X53" s="96">
        <v>0.5</v>
      </c>
      <c r="Y53" s="58">
        <v>0.16769999999999999</v>
      </c>
      <c r="Z53" s="58">
        <v>0.1971</v>
      </c>
      <c r="AA53" s="96">
        <v>0</v>
      </c>
      <c r="AB53" s="58">
        <v>5.4300000000000001E-2</v>
      </c>
      <c r="AC53" s="58">
        <v>3.6600000000000001E-2</v>
      </c>
      <c r="AD53" s="59">
        <v>3</v>
      </c>
      <c r="AE53" s="58">
        <v>0.72799999999999998</v>
      </c>
      <c r="AF53" s="58">
        <v>0.74080000000000001</v>
      </c>
      <c r="AG53" s="59">
        <v>3</v>
      </c>
      <c r="AH53" s="58">
        <v>1</v>
      </c>
      <c r="AI53" s="58">
        <v>1</v>
      </c>
      <c r="AJ53" s="59">
        <v>2</v>
      </c>
      <c r="AK53" s="58">
        <v>9.2899999999999996E-2</v>
      </c>
      <c r="AL53" s="58">
        <v>0.105</v>
      </c>
      <c r="AM53" s="59">
        <v>2</v>
      </c>
      <c r="AN53" s="58">
        <v>0.27100000000000002</v>
      </c>
      <c r="AO53" s="58">
        <v>0.38500000000000001</v>
      </c>
      <c r="AP53" s="101">
        <v>1</v>
      </c>
      <c r="AQ53" s="4">
        <v>40</v>
      </c>
      <c r="AR53" s="4"/>
    </row>
    <row r="54" spans="1:44" x14ac:dyDescent="0.25">
      <c r="A54" s="1" t="s">
        <v>71</v>
      </c>
      <c r="B54" s="2" t="s">
        <v>202</v>
      </c>
      <c r="C54" s="2" t="s">
        <v>270</v>
      </c>
      <c r="D54" s="2" t="s">
        <v>153</v>
      </c>
      <c r="E54" s="3">
        <v>29169</v>
      </c>
      <c r="F54" s="59">
        <v>2</v>
      </c>
      <c r="G54" s="59">
        <v>2</v>
      </c>
      <c r="H54" s="59">
        <v>2</v>
      </c>
      <c r="I54" s="59">
        <v>2</v>
      </c>
      <c r="J54" s="59">
        <v>2</v>
      </c>
      <c r="K54" s="59">
        <v>2</v>
      </c>
      <c r="L54" s="59">
        <v>1</v>
      </c>
      <c r="M54" s="59">
        <v>2</v>
      </c>
      <c r="N54" s="59">
        <v>2</v>
      </c>
      <c r="O54" s="121">
        <v>2</v>
      </c>
      <c r="P54" s="58">
        <v>0.69089999999999996</v>
      </c>
      <c r="Q54" s="58">
        <v>0.61109999999999998</v>
      </c>
      <c r="R54" s="96">
        <v>1</v>
      </c>
      <c r="S54" s="58">
        <v>0.1197</v>
      </c>
      <c r="T54" s="58">
        <v>0.1958</v>
      </c>
      <c r="U54" s="96">
        <v>0.5</v>
      </c>
      <c r="V54" s="58">
        <v>4.2000000000000003E-2</v>
      </c>
      <c r="W54" s="58">
        <v>4.5900000000000003E-2</v>
      </c>
      <c r="X54" s="96">
        <v>0.5</v>
      </c>
      <c r="Y54" s="58">
        <v>0.15379999999999999</v>
      </c>
      <c r="Z54" s="58">
        <v>0.18060000000000001</v>
      </c>
      <c r="AA54" s="96">
        <v>1.5</v>
      </c>
      <c r="AB54" s="58">
        <v>4.24E-2</v>
      </c>
      <c r="AC54" s="58">
        <v>0.1193</v>
      </c>
      <c r="AD54" s="59">
        <v>2</v>
      </c>
      <c r="AE54" s="58">
        <v>0.66</v>
      </c>
      <c r="AF54" s="58">
        <v>0.65429999999999999</v>
      </c>
      <c r="AG54" s="59">
        <v>3</v>
      </c>
      <c r="AH54" s="58">
        <v>1</v>
      </c>
      <c r="AI54" s="58">
        <v>1</v>
      </c>
      <c r="AJ54" s="59">
        <v>0</v>
      </c>
      <c r="AK54" s="58">
        <v>0.1148</v>
      </c>
      <c r="AL54" s="58">
        <v>0.1981</v>
      </c>
      <c r="AM54" s="59">
        <v>1</v>
      </c>
      <c r="AN54" s="58">
        <v>5.8999999999999997E-2</v>
      </c>
      <c r="AO54" s="58">
        <v>0.17299999999999999</v>
      </c>
      <c r="AP54" s="101">
        <v>1</v>
      </c>
      <c r="AQ54" s="4">
        <v>40</v>
      </c>
      <c r="AR54" s="4"/>
    </row>
    <row r="55" spans="1:44" x14ac:dyDescent="0.25">
      <c r="A55" s="1" t="s">
        <v>72</v>
      </c>
      <c r="B55" s="2" t="s">
        <v>203</v>
      </c>
      <c r="C55" s="2" t="s">
        <v>271</v>
      </c>
      <c r="D55" s="2" t="s">
        <v>153</v>
      </c>
      <c r="E55" s="3">
        <v>29006</v>
      </c>
      <c r="F55" s="59">
        <v>2</v>
      </c>
      <c r="G55" s="59">
        <v>2</v>
      </c>
      <c r="H55" s="59">
        <v>2</v>
      </c>
      <c r="I55" s="59">
        <v>2</v>
      </c>
      <c r="J55" s="59">
        <v>2</v>
      </c>
      <c r="K55" s="59">
        <v>2</v>
      </c>
      <c r="L55" s="59">
        <v>2</v>
      </c>
      <c r="M55" s="59">
        <v>2</v>
      </c>
      <c r="N55" s="59">
        <v>2</v>
      </c>
      <c r="O55" s="121">
        <v>0</v>
      </c>
      <c r="P55" s="58">
        <v>0.52629999999999999</v>
      </c>
      <c r="Q55" s="58">
        <v>0.4</v>
      </c>
      <c r="R55" s="96">
        <v>1</v>
      </c>
      <c r="S55" s="58">
        <v>0.2195</v>
      </c>
      <c r="T55" s="58">
        <v>0.19350000000000001</v>
      </c>
      <c r="U55" s="96">
        <v>0</v>
      </c>
      <c r="V55" s="58">
        <v>7.4099999999999999E-2</v>
      </c>
      <c r="W55" s="58">
        <v>0</v>
      </c>
      <c r="X55" s="96">
        <v>0</v>
      </c>
      <c r="Y55" s="58">
        <v>0.27500000000000002</v>
      </c>
      <c r="Z55" s="58">
        <v>0.19350000000000001</v>
      </c>
      <c r="AA55" s="96">
        <v>0</v>
      </c>
      <c r="AB55" s="58">
        <v>0</v>
      </c>
      <c r="AC55" s="58">
        <v>0</v>
      </c>
      <c r="AD55" s="59">
        <v>3</v>
      </c>
      <c r="AE55" s="58">
        <v>0.70660000000000001</v>
      </c>
      <c r="AF55" s="58">
        <v>0.71189999999999998</v>
      </c>
      <c r="AG55" s="59">
        <v>3</v>
      </c>
      <c r="AH55" s="58">
        <v>1</v>
      </c>
      <c r="AI55" s="58">
        <v>1</v>
      </c>
      <c r="AJ55" s="59">
        <v>2</v>
      </c>
      <c r="AK55" s="58">
        <v>8.8300000000000003E-2</v>
      </c>
      <c r="AL55" s="58">
        <v>0.1371</v>
      </c>
      <c r="AM55" s="59">
        <v>3</v>
      </c>
      <c r="AN55" s="58">
        <v>0.182</v>
      </c>
      <c r="AO55" s="58">
        <v>0.5</v>
      </c>
      <c r="AP55" s="101">
        <v>1</v>
      </c>
      <c r="AQ55" s="4">
        <v>40</v>
      </c>
      <c r="AR55" s="4"/>
    </row>
    <row r="56" spans="1:44" x14ac:dyDescent="0.25">
      <c r="A56" s="1" t="s">
        <v>73</v>
      </c>
      <c r="B56" s="2" t="s">
        <v>204</v>
      </c>
      <c r="C56" s="2" t="s">
        <v>272</v>
      </c>
      <c r="D56" s="2" t="s">
        <v>153</v>
      </c>
      <c r="E56" s="3">
        <v>29160</v>
      </c>
      <c r="F56" s="59">
        <v>2</v>
      </c>
      <c r="G56" s="59">
        <v>2</v>
      </c>
      <c r="H56" s="59">
        <v>2</v>
      </c>
      <c r="I56" s="59">
        <v>2</v>
      </c>
      <c r="J56" s="59">
        <v>2</v>
      </c>
      <c r="K56" s="59">
        <v>2</v>
      </c>
      <c r="L56" s="59">
        <v>1</v>
      </c>
      <c r="M56" s="59">
        <v>2</v>
      </c>
      <c r="N56" s="59">
        <v>2</v>
      </c>
      <c r="O56" s="121">
        <v>0</v>
      </c>
      <c r="P56" s="58">
        <v>0.64</v>
      </c>
      <c r="Q56" s="58">
        <v>0.43590000000000001</v>
      </c>
      <c r="R56" s="96">
        <v>0.5</v>
      </c>
      <c r="S56" s="58">
        <v>4.5499999999999999E-2</v>
      </c>
      <c r="T56" s="58">
        <v>6.6699999999999995E-2</v>
      </c>
      <c r="U56" s="96">
        <v>0</v>
      </c>
      <c r="V56" s="58">
        <v>3.85E-2</v>
      </c>
      <c r="W56" s="58">
        <v>0</v>
      </c>
      <c r="X56" s="96">
        <v>0.5</v>
      </c>
      <c r="Y56" s="58">
        <v>0</v>
      </c>
      <c r="Z56" s="58">
        <v>0.05</v>
      </c>
      <c r="AA56" s="96">
        <v>0</v>
      </c>
      <c r="AB56" s="58">
        <v>0</v>
      </c>
      <c r="AC56" s="58">
        <v>0</v>
      </c>
      <c r="AD56" s="59">
        <v>3</v>
      </c>
      <c r="AE56" s="58">
        <v>0.6895</v>
      </c>
      <c r="AF56" s="58">
        <v>0.75470000000000004</v>
      </c>
      <c r="AG56" s="59">
        <v>3</v>
      </c>
      <c r="AH56" s="58">
        <v>1</v>
      </c>
      <c r="AI56" s="58">
        <v>1</v>
      </c>
      <c r="AJ56" s="59">
        <v>2</v>
      </c>
      <c r="AK56" s="58">
        <v>0.15290000000000001</v>
      </c>
      <c r="AL56" s="58">
        <v>0.1424</v>
      </c>
      <c r="AM56" s="59">
        <v>0</v>
      </c>
      <c r="AN56" s="58">
        <v>0.17899999999999999</v>
      </c>
      <c r="AO56" s="58">
        <v>5.8999999999999997E-2</v>
      </c>
      <c r="AP56" s="101">
        <v>1</v>
      </c>
      <c r="AQ56" s="4">
        <v>40</v>
      </c>
      <c r="AR56" s="4"/>
    </row>
    <row r="57" spans="1:44" x14ac:dyDescent="0.25">
      <c r="A57" s="1" t="s">
        <v>74</v>
      </c>
      <c r="B57" s="2" t="s">
        <v>205</v>
      </c>
      <c r="C57" s="2" t="s">
        <v>273</v>
      </c>
      <c r="D57" s="2" t="s">
        <v>153</v>
      </c>
      <c r="E57" s="3">
        <v>29063</v>
      </c>
      <c r="F57" s="59">
        <v>2</v>
      </c>
      <c r="G57" s="59">
        <v>2</v>
      </c>
      <c r="H57" s="59">
        <v>2</v>
      </c>
      <c r="I57" s="59">
        <v>2</v>
      </c>
      <c r="J57" s="59">
        <v>1</v>
      </c>
      <c r="K57" s="59">
        <v>2</v>
      </c>
      <c r="L57" s="59">
        <v>2</v>
      </c>
      <c r="M57" s="59">
        <v>2</v>
      </c>
      <c r="N57" s="59">
        <v>2</v>
      </c>
      <c r="O57" s="121">
        <v>2</v>
      </c>
      <c r="P57" s="58">
        <v>0.62809999999999999</v>
      </c>
      <c r="Q57" s="58">
        <v>0.61809999999999998</v>
      </c>
      <c r="R57" s="96">
        <v>1.5</v>
      </c>
      <c r="S57" s="58">
        <v>0.29480000000000001</v>
      </c>
      <c r="T57" s="58">
        <v>0.31330000000000002</v>
      </c>
      <c r="U57" s="96">
        <v>1</v>
      </c>
      <c r="V57" s="58">
        <v>0.121</v>
      </c>
      <c r="W57" s="58">
        <v>0.14599999999999999</v>
      </c>
      <c r="X57" s="96">
        <v>1.5</v>
      </c>
      <c r="Y57" s="58">
        <v>0.3488</v>
      </c>
      <c r="Z57" s="58">
        <v>0.2596</v>
      </c>
      <c r="AA57" s="96">
        <v>1.5</v>
      </c>
      <c r="AB57" s="58">
        <v>7.8100000000000003E-2</v>
      </c>
      <c r="AC57" s="58">
        <v>0.1095</v>
      </c>
      <c r="AD57" s="59">
        <v>3</v>
      </c>
      <c r="AE57" s="58">
        <v>0.69589999999999996</v>
      </c>
      <c r="AF57" s="58">
        <v>0.72109999999999996</v>
      </c>
      <c r="AG57" s="59">
        <v>3</v>
      </c>
      <c r="AH57" s="58">
        <v>1</v>
      </c>
      <c r="AI57" s="58">
        <v>1</v>
      </c>
      <c r="AJ57" s="59">
        <v>2</v>
      </c>
      <c r="AK57" s="58">
        <v>8.1299999999999997E-2</v>
      </c>
      <c r="AL57" s="58">
        <v>0.13489999999999999</v>
      </c>
      <c r="AM57" s="59">
        <v>2</v>
      </c>
      <c r="AN57" s="58">
        <v>0.36199999999999999</v>
      </c>
      <c r="AO57" s="58">
        <v>0.36699999999999999</v>
      </c>
      <c r="AP57" s="101">
        <v>1</v>
      </c>
      <c r="AQ57" s="4">
        <v>40</v>
      </c>
      <c r="AR57" s="4"/>
    </row>
    <row r="58" spans="1:44" x14ac:dyDescent="0.25">
      <c r="A58" s="1" t="s">
        <v>75</v>
      </c>
      <c r="B58" s="2" t="s">
        <v>206</v>
      </c>
      <c r="C58" s="2" t="s">
        <v>75</v>
      </c>
      <c r="D58" s="2" t="s">
        <v>292</v>
      </c>
      <c r="E58" s="3">
        <v>29571</v>
      </c>
      <c r="F58" s="59">
        <v>2</v>
      </c>
      <c r="G58" s="59">
        <v>2</v>
      </c>
      <c r="H58" s="59">
        <v>1</v>
      </c>
      <c r="I58" s="59">
        <v>2</v>
      </c>
      <c r="J58" s="59">
        <v>2</v>
      </c>
      <c r="K58" s="59">
        <v>2</v>
      </c>
      <c r="L58" s="59">
        <v>2</v>
      </c>
      <c r="M58" s="59">
        <v>2</v>
      </c>
      <c r="N58" s="59">
        <v>2</v>
      </c>
      <c r="O58" s="121">
        <v>0</v>
      </c>
      <c r="P58" s="58">
        <v>0.43640000000000001</v>
      </c>
      <c r="Q58" s="58">
        <v>0.42</v>
      </c>
      <c r="R58" s="96">
        <v>0</v>
      </c>
      <c r="S58" s="58">
        <v>8.77E-2</v>
      </c>
      <c r="T58" s="58">
        <v>4.5499999999999999E-2</v>
      </c>
      <c r="U58" s="96">
        <v>0</v>
      </c>
      <c r="V58" s="58">
        <v>7.6899999999999996E-2</v>
      </c>
      <c r="W58" s="58">
        <v>1.8499999999999999E-2</v>
      </c>
      <c r="X58" s="96">
        <v>0.5</v>
      </c>
      <c r="Y58" s="58">
        <v>0.05</v>
      </c>
      <c r="Z58" s="58">
        <v>9.0899999999999995E-2</v>
      </c>
      <c r="AA58" s="96">
        <v>0.5</v>
      </c>
      <c r="AB58" s="58">
        <v>2.7E-2</v>
      </c>
      <c r="AC58" s="58">
        <v>3.6999999999999998E-2</v>
      </c>
      <c r="AD58" s="59">
        <v>2</v>
      </c>
      <c r="AE58" s="58">
        <v>0.68659999999999999</v>
      </c>
      <c r="AF58" s="58">
        <v>0.66169999999999995</v>
      </c>
      <c r="AG58" s="59">
        <v>3</v>
      </c>
      <c r="AH58" s="58">
        <v>1</v>
      </c>
      <c r="AI58" s="58">
        <v>1</v>
      </c>
      <c r="AJ58" s="59">
        <v>0</v>
      </c>
      <c r="AK58" s="58">
        <v>8.7599999999999997E-2</v>
      </c>
      <c r="AL58" s="58">
        <v>0.29949999999999999</v>
      </c>
      <c r="AM58" s="59">
        <v>1</v>
      </c>
      <c r="AN58" s="58">
        <v>0.13100000000000001</v>
      </c>
      <c r="AO58" s="58">
        <v>0.21199999999999999</v>
      </c>
      <c r="AP58" s="101">
        <v>1</v>
      </c>
      <c r="AQ58" s="4">
        <v>40</v>
      </c>
      <c r="AR58" s="4"/>
    </row>
    <row r="59" spans="1:44" x14ac:dyDescent="0.25">
      <c r="A59" s="1" t="s">
        <v>76</v>
      </c>
      <c r="B59" s="2" t="s">
        <v>207</v>
      </c>
      <c r="C59" s="2" t="s">
        <v>274</v>
      </c>
      <c r="D59" s="2" t="s">
        <v>153</v>
      </c>
      <c r="E59" s="3">
        <v>29512</v>
      </c>
      <c r="F59" s="59">
        <v>2</v>
      </c>
      <c r="G59" s="59">
        <v>2</v>
      </c>
      <c r="H59" s="59">
        <v>2</v>
      </c>
      <c r="I59" s="59">
        <v>2</v>
      </c>
      <c r="J59" s="59">
        <v>2</v>
      </c>
      <c r="K59" s="59">
        <v>2</v>
      </c>
      <c r="L59" s="59">
        <v>2</v>
      </c>
      <c r="M59" s="59">
        <v>2</v>
      </c>
      <c r="N59" s="59">
        <v>2</v>
      </c>
      <c r="O59" s="121">
        <v>1</v>
      </c>
      <c r="P59" s="58">
        <v>0.13039999999999999</v>
      </c>
      <c r="Q59" s="58">
        <v>0.4375</v>
      </c>
      <c r="R59" s="96">
        <v>0.5</v>
      </c>
      <c r="S59" s="58">
        <v>2.9399999999999999E-2</v>
      </c>
      <c r="T59" s="58">
        <v>6.8199999999999997E-2</v>
      </c>
      <c r="U59" s="96">
        <v>0.5</v>
      </c>
      <c r="V59" s="58">
        <v>6.4500000000000002E-2</v>
      </c>
      <c r="W59" s="58">
        <v>7.8399999999999997E-2</v>
      </c>
      <c r="X59" s="96">
        <v>0.5</v>
      </c>
      <c r="Y59" s="58">
        <v>0</v>
      </c>
      <c r="Z59" s="58">
        <v>2.2700000000000001E-2</v>
      </c>
      <c r="AA59" s="96">
        <v>0.5</v>
      </c>
      <c r="AB59" s="58">
        <v>0</v>
      </c>
      <c r="AC59" s="58">
        <v>1.9199999999999998E-2</v>
      </c>
      <c r="AD59" s="59">
        <v>0</v>
      </c>
      <c r="AE59" s="58">
        <v>0.60860000000000003</v>
      </c>
      <c r="AF59" s="58">
        <v>0.59330000000000005</v>
      </c>
      <c r="AG59" s="59">
        <v>3</v>
      </c>
      <c r="AH59" s="58">
        <v>1</v>
      </c>
      <c r="AI59" s="58">
        <v>1</v>
      </c>
      <c r="AJ59" s="59">
        <v>2</v>
      </c>
      <c r="AK59" s="58">
        <v>3.8899999999999997E-2</v>
      </c>
      <c r="AL59" s="58">
        <v>0.13020000000000001</v>
      </c>
      <c r="AM59" s="59">
        <v>0</v>
      </c>
      <c r="AN59" s="58">
        <v>0.11899999999999999</v>
      </c>
      <c r="AO59" s="58">
        <v>0</v>
      </c>
      <c r="AP59" s="101">
        <v>1</v>
      </c>
      <c r="AQ59" s="4">
        <v>40</v>
      </c>
      <c r="AR59" s="4"/>
    </row>
    <row r="60" spans="1:44" x14ac:dyDescent="0.25">
      <c r="A60" s="1" t="s">
        <v>77</v>
      </c>
      <c r="B60" s="2" t="s">
        <v>208</v>
      </c>
      <c r="C60" s="2" t="s">
        <v>77</v>
      </c>
      <c r="D60" s="2" t="s">
        <v>153</v>
      </c>
      <c r="E60" s="3">
        <v>29835</v>
      </c>
      <c r="F60" s="59">
        <v>2</v>
      </c>
      <c r="G60" s="59">
        <v>2</v>
      </c>
      <c r="H60" s="59">
        <v>1</v>
      </c>
      <c r="I60" s="59">
        <v>2</v>
      </c>
      <c r="J60" s="59">
        <v>2</v>
      </c>
      <c r="K60" s="59">
        <v>2</v>
      </c>
      <c r="L60" s="59">
        <v>2</v>
      </c>
      <c r="M60" s="59">
        <v>2</v>
      </c>
      <c r="N60" s="59">
        <v>2</v>
      </c>
      <c r="O60" s="121">
        <v>3</v>
      </c>
      <c r="P60" s="58">
        <v>0.90910000000000002</v>
      </c>
      <c r="Q60" s="58">
        <v>0.8</v>
      </c>
      <c r="R60" s="96">
        <v>1.5</v>
      </c>
      <c r="S60" s="58">
        <v>0.18179999999999999</v>
      </c>
      <c r="T60" s="58">
        <v>0.28570000000000001</v>
      </c>
      <c r="U60" s="96">
        <v>0</v>
      </c>
      <c r="V60" s="58">
        <v>0</v>
      </c>
      <c r="W60" s="58">
        <v>0</v>
      </c>
      <c r="X60" s="96">
        <v>1.5</v>
      </c>
      <c r="Y60" s="58">
        <v>0</v>
      </c>
      <c r="Z60" s="58">
        <v>0.28570000000000001</v>
      </c>
      <c r="AA60" s="96">
        <v>0</v>
      </c>
      <c r="AB60" s="58">
        <v>8.3299999999999999E-2</v>
      </c>
      <c r="AC60" s="58">
        <v>0</v>
      </c>
      <c r="AD60" s="59">
        <v>0</v>
      </c>
      <c r="AE60" s="58">
        <v>0.63249999999999995</v>
      </c>
      <c r="AF60" s="58">
        <v>0.54290000000000005</v>
      </c>
      <c r="AG60" s="59">
        <v>3</v>
      </c>
      <c r="AH60" s="58">
        <v>1</v>
      </c>
      <c r="AI60" s="58">
        <v>1</v>
      </c>
      <c r="AJ60" s="59">
        <v>0</v>
      </c>
      <c r="AK60" s="58">
        <v>0.1026</v>
      </c>
      <c r="AL60" s="58">
        <v>0.19439999999999999</v>
      </c>
      <c r="AM60" s="59">
        <v>0</v>
      </c>
      <c r="AN60" s="58">
        <v>0.27300000000000002</v>
      </c>
      <c r="AO60" s="58">
        <v>0</v>
      </c>
      <c r="AP60" s="101">
        <v>1</v>
      </c>
      <c r="AQ60" s="4">
        <v>40</v>
      </c>
      <c r="AR60" s="4"/>
    </row>
    <row r="61" spans="1:44" x14ac:dyDescent="0.25">
      <c r="A61" s="1" t="s">
        <v>78</v>
      </c>
      <c r="B61" s="2" t="s">
        <v>209</v>
      </c>
      <c r="C61" s="2" t="s">
        <v>78</v>
      </c>
      <c r="D61" s="2" t="s">
        <v>153</v>
      </c>
      <c r="E61" s="3">
        <v>29108</v>
      </c>
      <c r="F61" s="59">
        <v>2</v>
      </c>
      <c r="G61" s="59">
        <v>2</v>
      </c>
      <c r="H61" s="59">
        <v>1</v>
      </c>
      <c r="I61" s="59">
        <v>1</v>
      </c>
      <c r="J61" s="59">
        <v>2</v>
      </c>
      <c r="K61" s="59">
        <v>2</v>
      </c>
      <c r="L61" s="59">
        <v>2</v>
      </c>
      <c r="M61" s="59">
        <v>2</v>
      </c>
      <c r="N61" s="59">
        <v>2</v>
      </c>
      <c r="O61" s="121">
        <v>0</v>
      </c>
      <c r="P61" s="58">
        <v>0.125</v>
      </c>
      <c r="Q61" s="58">
        <v>0</v>
      </c>
      <c r="R61" s="96">
        <v>0</v>
      </c>
      <c r="S61" s="58">
        <v>0.1905</v>
      </c>
      <c r="T61" s="58">
        <v>0.125</v>
      </c>
      <c r="U61" s="96">
        <v>0</v>
      </c>
      <c r="V61" s="58">
        <v>4.7600000000000003E-2</v>
      </c>
      <c r="W61" s="58">
        <v>0</v>
      </c>
      <c r="X61" s="96">
        <v>0</v>
      </c>
      <c r="Y61" s="58">
        <v>0.23530000000000001</v>
      </c>
      <c r="Z61" s="58">
        <v>0.1071</v>
      </c>
      <c r="AA61" s="96">
        <v>0</v>
      </c>
      <c r="AB61" s="58">
        <v>6.9800000000000001E-2</v>
      </c>
      <c r="AC61" s="58">
        <v>2.7E-2</v>
      </c>
      <c r="AD61" s="59">
        <v>3</v>
      </c>
      <c r="AE61" s="58">
        <v>0.72699999999999998</v>
      </c>
      <c r="AF61" s="58">
        <v>0.70309999999999995</v>
      </c>
      <c r="AG61" s="59">
        <v>3</v>
      </c>
      <c r="AH61" s="58">
        <v>1</v>
      </c>
      <c r="AI61" s="58">
        <v>1</v>
      </c>
      <c r="AJ61" s="59">
        <v>0</v>
      </c>
      <c r="AK61" s="58">
        <v>9.0499999999999997E-2</v>
      </c>
      <c r="AL61" s="58">
        <v>0.157</v>
      </c>
      <c r="AM61" s="59">
        <v>1</v>
      </c>
      <c r="AN61" s="58">
        <v>0.14299999999999999</v>
      </c>
      <c r="AO61" s="58">
        <v>0.17899999999999999</v>
      </c>
      <c r="AP61" s="101">
        <v>1</v>
      </c>
      <c r="AQ61" s="4">
        <v>40</v>
      </c>
      <c r="AR61" s="4"/>
    </row>
    <row r="62" spans="1:44" x14ac:dyDescent="0.25">
      <c r="A62" s="1" t="s">
        <v>79</v>
      </c>
      <c r="B62" s="2" t="s">
        <v>210</v>
      </c>
      <c r="C62" s="2" t="s">
        <v>275</v>
      </c>
      <c r="D62" s="2" t="s">
        <v>153</v>
      </c>
      <c r="E62" s="3">
        <v>29691</v>
      </c>
      <c r="F62" s="59">
        <v>2</v>
      </c>
      <c r="G62" s="59">
        <v>2</v>
      </c>
      <c r="H62" s="59">
        <v>2</v>
      </c>
      <c r="I62" s="59">
        <v>2</v>
      </c>
      <c r="J62" s="59">
        <v>1</v>
      </c>
      <c r="K62" s="59">
        <v>2</v>
      </c>
      <c r="L62" s="59">
        <v>1</v>
      </c>
      <c r="M62" s="59">
        <v>2</v>
      </c>
      <c r="N62" s="59">
        <v>2</v>
      </c>
      <c r="O62" s="121">
        <v>0</v>
      </c>
      <c r="P62" s="58">
        <v>0.52880000000000005</v>
      </c>
      <c r="Q62" s="58">
        <v>0.28949999999999998</v>
      </c>
      <c r="R62" s="96">
        <v>0.5</v>
      </c>
      <c r="S62" s="58">
        <v>0.1381</v>
      </c>
      <c r="T62" s="58">
        <v>0.17030000000000001</v>
      </c>
      <c r="U62" s="96">
        <v>1</v>
      </c>
      <c r="V62" s="58">
        <v>7.5300000000000006E-2</v>
      </c>
      <c r="W62" s="58">
        <v>0.1173</v>
      </c>
      <c r="X62" s="96">
        <v>0.5</v>
      </c>
      <c r="Y62" s="58">
        <v>0.1429</v>
      </c>
      <c r="Z62" s="58">
        <v>0.18129999999999999</v>
      </c>
      <c r="AA62" s="96">
        <v>0</v>
      </c>
      <c r="AB62" s="58">
        <v>8.1600000000000006E-2</v>
      </c>
      <c r="AC62" s="58">
        <v>5.5899999999999998E-2</v>
      </c>
      <c r="AD62" s="59">
        <v>1</v>
      </c>
      <c r="AE62" s="58">
        <v>0.55579999999999996</v>
      </c>
      <c r="AF62" s="58">
        <v>0.59760000000000002</v>
      </c>
      <c r="AG62" s="59">
        <v>3</v>
      </c>
      <c r="AH62" s="58">
        <v>1</v>
      </c>
      <c r="AI62" s="58">
        <v>1</v>
      </c>
      <c r="AJ62" s="59">
        <v>2</v>
      </c>
      <c r="AK62" s="58">
        <v>9.8400000000000001E-2</v>
      </c>
      <c r="AL62" s="58">
        <v>0.13370000000000001</v>
      </c>
      <c r="AM62" s="59">
        <v>0</v>
      </c>
      <c r="AN62" s="58">
        <v>0.316</v>
      </c>
      <c r="AO62" s="58">
        <v>0.28100000000000003</v>
      </c>
      <c r="AP62" s="101">
        <v>1</v>
      </c>
      <c r="AQ62" s="4">
        <v>40</v>
      </c>
      <c r="AR62" s="4"/>
    </row>
    <row r="63" spans="1:44" x14ac:dyDescent="0.25">
      <c r="A63" s="1" t="s">
        <v>80</v>
      </c>
      <c r="B63" s="2" t="s">
        <v>313</v>
      </c>
      <c r="C63" s="2" t="s">
        <v>80</v>
      </c>
      <c r="D63" s="2" t="s">
        <v>153</v>
      </c>
      <c r="E63" s="3">
        <v>29118</v>
      </c>
      <c r="F63" s="59">
        <v>2</v>
      </c>
      <c r="G63" s="59">
        <v>2</v>
      </c>
      <c r="H63" s="59">
        <v>2</v>
      </c>
      <c r="I63" s="59">
        <v>2</v>
      </c>
      <c r="J63" s="59">
        <v>1</v>
      </c>
      <c r="K63" s="59">
        <v>1</v>
      </c>
      <c r="L63" s="59">
        <v>2</v>
      </c>
      <c r="M63" s="59">
        <v>2</v>
      </c>
      <c r="N63" s="59">
        <v>2</v>
      </c>
      <c r="O63" s="121">
        <v>0</v>
      </c>
      <c r="P63" s="58">
        <v>0.3</v>
      </c>
      <c r="Q63" s="58">
        <v>0.29409999999999997</v>
      </c>
      <c r="R63" s="96">
        <v>0</v>
      </c>
      <c r="S63" s="58">
        <v>0.23330000000000001</v>
      </c>
      <c r="T63" s="58">
        <v>0.15790000000000001</v>
      </c>
      <c r="U63" s="96">
        <v>0</v>
      </c>
      <c r="V63" s="58">
        <v>0.15</v>
      </c>
      <c r="W63" s="58">
        <v>5.33E-2</v>
      </c>
      <c r="X63" s="96">
        <v>0</v>
      </c>
      <c r="Y63" s="58">
        <v>0.1429</v>
      </c>
      <c r="Z63" s="58">
        <v>0.1158</v>
      </c>
      <c r="AA63" s="96">
        <v>0</v>
      </c>
      <c r="AB63" s="58">
        <v>4.7600000000000003E-2</v>
      </c>
      <c r="AC63" s="58">
        <v>2.6700000000000002E-2</v>
      </c>
      <c r="AD63" s="59">
        <v>0</v>
      </c>
      <c r="AE63" s="58">
        <v>0.49930000000000002</v>
      </c>
      <c r="AF63" s="58">
        <v>0.46779999999999999</v>
      </c>
      <c r="AG63" s="59">
        <v>3</v>
      </c>
      <c r="AH63" s="58">
        <v>1</v>
      </c>
      <c r="AI63" s="58">
        <v>1</v>
      </c>
      <c r="AJ63" s="59">
        <v>3</v>
      </c>
      <c r="AK63" s="58">
        <v>0</v>
      </c>
      <c r="AL63" s="58">
        <v>4.9700000000000001E-2</v>
      </c>
      <c r="AM63" s="59">
        <v>1</v>
      </c>
      <c r="AN63" s="58">
        <v>0.11</v>
      </c>
      <c r="AO63" s="58">
        <v>0.188</v>
      </c>
      <c r="AP63" s="101">
        <v>1</v>
      </c>
      <c r="AQ63" s="4">
        <v>40</v>
      </c>
      <c r="AR63" s="4"/>
    </row>
    <row r="64" spans="1:44" x14ac:dyDescent="0.25">
      <c r="A64" s="1" t="s">
        <v>81</v>
      </c>
      <c r="B64" s="2" t="s">
        <v>211</v>
      </c>
      <c r="C64" s="2" t="s">
        <v>243</v>
      </c>
      <c r="D64" s="2" t="s">
        <v>153</v>
      </c>
      <c r="E64" s="3">
        <v>29210</v>
      </c>
      <c r="F64" s="59">
        <v>2</v>
      </c>
      <c r="G64" s="59">
        <v>2</v>
      </c>
      <c r="H64" s="59">
        <v>2</v>
      </c>
      <c r="I64" s="59">
        <v>2</v>
      </c>
      <c r="J64" s="59" t="s">
        <v>23</v>
      </c>
      <c r="K64" s="59" t="s">
        <v>23</v>
      </c>
      <c r="L64" s="59">
        <v>2</v>
      </c>
      <c r="M64" s="59">
        <v>2</v>
      </c>
      <c r="N64" s="59">
        <v>2</v>
      </c>
      <c r="O64" s="121" t="s">
        <v>23</v>
      </c>
      <c r="P64" s="58" t="s">
        <v>23</v>
      </c>
      <c r="Q64" s="58" t="s">
        <v>23</v>
      </c>
      <c r="R64" s="96" t="s">
        <v>23</v>
      </c>
      <c r="S64" s="58" t="s">
        <v>23</v>
      </c>
      <c r="T64" s="58" t="s">
        <v>23</v>
      </c>
      <c r="U64" s="96" t="s">
        <v>23</v>
      </c>
      <c r="V64" s="58" t="s">
        <v>23</v>
      </c>
      <c r="W64" s="58" t="s">
        <v>23</v>
      </c>
      <c r="X64" s="96" t="s">
        <v>23</v>
      </c>
      <c r="Y64" s="58" t="s">
        <v>23</v>
      </c>
      <c r="Z64" s="58" t="s">
        <v>23</v>
      </c>
      <c r="AA64" s="96" t="s">
        <v>23</v>
      </c>
      <c r="AB64" s="58" t="s">
        <v>23</v>
      </c>
      <c r="AC64" s="58" t="s">
        <v>23</v>
      </c>
      <c r="AD64" s="59">
        <v>0</v>
      </c>
      <c r="AE64" s="58">
        <v>2.5000000000000001E-2</v>
      </c>
      <c r="AF64" s="58" t="s">
        <v>23</v>
      </c>
      <c r="AG64" s="59" t="s">
        <v>23</v>
      </c>
      <c r="AH64" s="58">
        <v>1</v>
      </c>
      <c r="AI64" s="58">
        <v>1</v>
      </c>
      <c r="AJ64" s="59">
        <v>3</v>
      </c>
      <c r="AK64" s="58">
        <v>0</v>
      </c>
      <c r="AL64" s="58">
        <v>0</v>
      </c>
      <c r="AM64" s="59" t="s">
        <v>23</v>
      </c>
      <c r="AN64" s="58" t="s">
        <v>23</v>
      </c>
      <c r="AO64" s="58" t="s">
        <v>23</v>
      </c>
      <c r="AP64" s="101">
        <v>1</v>
      </c>
      <c r="AQ64" s="4">
        <v>20</v>
      </c>
      <c r="AR64" s="4"/>
    </row>
    <row r="65" spans="1:44" x14ac:dyDescent="0.25">
      <c r="A65" s="1" t="s">
        <v>82</v>
      </c>
      <c r="B65" s="2" t="s">
        <v>212</v>
      </c>
      <c r="C65" s="2" t="s">
        <v>276</v>
      </c>
      <c r="D65" s="2" t="s">
        <v>153</v>
      </c>
      <c r="E65" s="3">
        <v>29640</v>
      </c>
      <c r="F65" s="59">
        <v>2</v>
      </c>
      <c r="G65" s="59">
        <v>2</v>
      </c>
      <c r="H65" s="59">
        <v>2</v>
      </c>
      <c r="I65" s="59">
        <v>2</v>
      </c>
      <c r="J65" s="59">
        <v>2</v>
      </c>
      <c r="K65" s="59">
        <v>2</v>
      </c>
      <c r="L65" s="59">
        <v>2</v>
      </c>
      <c r="M65" s="59">
        <v>2</v>
      </c>
      <c r="N65" s="59">
        <v>2</v>
      </c>
      <c r="O65" s="121">
        <v>0</v>
      </c>
      <c r="P65" s="58">
        <v>0.54920000000000002</v>
      </c>
      <c r="Q65" s="58">
        <v>0.51449999999999996</v>
      </c>
      <c r="R65" s="96">
        <v>0.5</v>
      </c>
      <c r="S65" s="58">
        <v>0.15509999999999999</v>
      </c>
      <c r="T65" s="58">
        <v>0.16800000000000001</v>
      </c>
      <c r="U65" s="96">
        <v>0.5</v>
      </c>
      <c r="V65" s="58">
        <v>3.1600000000000003E-2</v>
      </c>
      <c r="W65" s="58">
        <v>7.3700000000000002E-2</v>
      </c>
      <c r="X65" s="96">
        <v>0.5</v>
      </c>
      <c r="Y65" s="58">
        <v>0.1497</v>
      </c>
      <c r="Z65" s="58">
        <v>0.18779999999999999</v>
      </c>
      <c r="AA65" s="96">
        <v>0</v>
      </c>
      <c r="AB65" s="58">
        <v>5.0999999999999997E-2</v>
      </c>
      <c r="AC65" s="58">
        <v>3.6799999999999999E-2</v>
      </c>
      <c r="AD65" s="59">
        <v>2</v>
      </c>
      <c r="AE65" s="58">
        <v>0.68330000000000002</v>
      </c>
      <c r="AF65" s="58">
        <v>0.68469999999999998</v>
      </c>
      <c r="AG65" s="59">
        <v>3</v>
      </c>
      <c r="AH65" s="58">
        <v>1</v>
      </c>
      <c r="AI65" s="58">
        <v>1</v>
      </c>
      <c r="AJ65" s="59">
        <v>2</v>
      </c>
      <c r="AK65" s="58">
        <v>9.6000000000000002E-2</v>
      </c>
      <c r="AL65" s="58">
        <v>0.1273</v>
      </c>
      <c r="AM65" s="59">
        <v>3</v>
      </c>
      <c r="AN65" s="58">
        <v>0.311</v>
      </c>
      <c r="AO65" s="58">
        <v>0.47199999999999998</v>
      </c>
      <c r="AP65" s="101">
        <v>1</v>
      </c>
      <c r="AQ65" s="4">
        <v>40</v>
      </c>
      <c r="AR65" s="4"/>
    </row>
    <row r="66" spans="1:44" x14ac:dyDescent="0.25">
      <c r="A66" s="1" t="s">
        <v>83</v>
      </c>
      <c r="B66" s="2" t="s">
        <v>213</v>
      </c>
      <c r="C66" s="2" t="s">
        <v>277</v>
      </c>
      <c r="D66" s="2" t="s">
        <v>153</v>
      </c>
      <c r="E66" s="3">
        <v>29204</v>
      </c>
      <c r="F66" s="59">
        <v>2</v>
      </c>
      <c r="G66" s="59">
        <v>2</v>
      </c>
      <c r="H66" s="59">
        <v>2</v>
      </c>
      <c r="I66" s="59">
        <v>2</v>
      </c>
      <c r="J66" s="59">
        <v>1</v>
      </c>
      <c r="K66" s="59">
        <v>2</v>
      </c>
      <c r="L66" s="59">
        <v>2</v>
      </c>
      <c r="M66" s="59">
        <v>2</v>
      </c>
      <c r="N66" s="59">
        <v>2</v>
      </c>
      <c r="O66" s="121">
        <v>0</v>
      </c>
      <c r="P66" s="58">
        <v>0.47949999999999998</v>
      </c>
      <c r="Q66" s="58">
        <v>0.4249</v>
      </c>
      <c r="R66" s="96">
        <v>0.5</v>
      </c>
      <c r="S66" s="58">
        <v>0.1278</v>
      </c>
      <c r="T66" s="58">
        <v>0.1522</v>
      </c>
      <c r="U66" s="96">
        <v>1</v>
      </c>
      <c r="V66" s="58">
        <v>8.72E-2</v>
      </c>
      <c r="W66" s="58">
        <v>0.1099</v>
      </c>
      <c r="X66" s="96">
        <v>0</v>
      </c>
      <c r="Y66" s="58">
        <v>0.1099</v>
      </c>
      <c r="Z66" s="58">
        <v>0.1096</v>
      </c>
      <c r="AA66" s="96">
        <v>0</v>
      </c>
      <c r="AB66" s="58">
        <v>0.06</v>
      </c>
      <c r="AC66" s="58">
        <v>4.9000000000000002E-2</v>
      </c>
      <c r="AD66" s="59">
        <v>0</v>
      </c>
      <c r="AE66" s="60">
        <v>0.57820000000000005</v>
      </c>
      <c r="AF66" s="60">
        <v>0.57509999999999994</v>
      </c>
      <c r="AG66" s="59">
        <v>3</v>
      </c>
      <c r="AH66" s="58">
        <v>1</v>
      </c>
      <c r="AI66" s="58">
        <v>1</v>
      </c>
      <c r="AJ66" s="59">
        <v>2</v>
      </c>
      <c r="AK66" s="60">
        <v>5.6000000000000001E-2</v>
      </c>
      <c r="AL66" s="60">
        <v>0.15140000000000001</v>
      </c>
      <c r="AM66" s="59">
        <v>1</v>
      </c>
      <c r="AN66" s="58">
        <v>0.112</v>
      </c>
      <c r="AO66" s="58">
        <v>0.17</v>
      </c>
      <c r="AP66" s="101">
        <v>1</v>
      </c>
      <c r="AQ66" s="4">
        <v>40</v>
      </c>
      <c r="AR66" s="4"/>
    </row>
    <row r="67" spans="1:44" x14ac:dyDescent="0.25">
      <c r="A67" s="1" t="s">
        <v>84</v>
      </c>
      <c r="B67" s="2" t="s">
        <v>214</v>
      </c>
      <c r="C67" s="2" t="s">
        <v>243</v>
      </c>
      <c r="D67" s="2" t="s">
        <v>153</v>
      </c>
      <c r="E67" s="3">
        <v>29223</v>
      </c>
      <c r="F67" s="59">
        <v>2</v>
      </c>
      <c r="G67" s="59">
        <v>1</v>
      </c>
      <c r="H67" s="59">
        <v>1</v>
      </c>
      <c r="I67" s="59">
        <v>1</v>
      </c>
      <c r="J67" s="59">
        <v>1</v>
      </c>
      <c r="K67" s="59">
        <v>2</v>
      </c>
      <c r="L67" s="59">
        <v>2</v>
      </c>
      <c r="M67" s="59">
        <v>2</v>
      </c>
      <c r="N67" s="59">
        <v>2</v>
      </c>
      <c r="O67" s="121">
        <v>2</v>
      </c>
      <c r="P67" s="58">
        <v>0.66839999999999999</v>
      </c>
      <c r="Q67" s="58">
        <v>0.63390000000000002</v>
      </c>
      <c r="R67" s="96">
        <v>1</v>
      </c>
      <c r="S67" s="58">
        <v>0.18060000000000001</v>
      </c>
      <c r="T67" s="58">
        <v>0.21859999999999999</v>
      </c>
      <c r="U67" s="96">
        <v>0</v>
      </c>
      <c r="V67" s="58">
        <v>0.1033</v>
      </c>
      <c r="W67" s="58">
        <v>7.7799999999999994E-2</v>
      </c>
      <c r="X67" s="96">
        <v>0.5</v>
      </c>
      <c r="Y67" s="58">
        <v>0.17810000000000001</v>
      </c>
      <c r="Z67" s="58">
        <v>0.2</v>
      </c>
      <c r="AA67" s="96">
        <v>0</v>
      </c>
      <c r="AB67" s="58">
        <v>0.11</v>
      </c>
      <c r="AC67" s="58">
        <v>6.6699999999999995E-2</v>
      </c>
      <c r="AD67" s="59">
        <v>2</v>
      </c>
      <c r="AE67" s="58">
        <v>0.66930000000000001</v>
      </c>
      <c r="AF67" s="58">
        <v>0.65469999999999995</v>
      </c>
      <c r="AG67" s="59">
        <v>3</v>
      </c>
      <c r="AH67" s="58">
        <v>1</v>
      </c>
      <c r="AI67" s="58">
        <v>1</v>
      </c>
      <c r="AJ67" s="59">
        <v>0</v>
      </c>
      <c r="AK67" s="58">
        <v>2.87E-2</v>
      </c>
      <c r="AL67" s="58">
        <v>0.17030000000000001</v>
      </c>
      <c r="AM67" s="59">
        <v>2</v>
      </c>
      <c r="AN67" s="58">
        <v>0.224</v>
      </c>
      <c r="AO67" s="58">
        <v>0.38600000000000001</v>
      </c>
      <c r="AP67" s="101">
        <v>1</v>
      </c>
      <c r="AQ67" s="4">
        <v>40</v>
      </c>
      <c r="AR67" s="4"/>
    </row>
    <row r="68" spans="1:44" x14ac:dyDescent="0.25">
      <c r="A68" s="1" t="s">
        <v>85</v>
      </c>
      <c r="B68" s="2" t="s">
        <v>215</v>
      </c>
      <c r="C68" s="2" t="s">
        <v>85</v>
      </c>
      <c r="D68" s="2" t="s">
        <v>153</v>
      </c>
      <c r="E68" s="3">
        <v>29138</v>
      </c>
      <c r="F68" s="59">
        <v>2</v>
      </c>
      <c r="G68" s="59">
        <v>2</v>
      </c>
      <c r="H68" s="59">
        <v>2</v>
      </c>
      <c r="I68" s="59">
        <v>2</v>
      </c>
      <c r="J68" s="59">
        <v>2</v>
      </c>
      <c r="K68" s="59">
        <v>2</v>
      </c>
      <c r="L68" s="59">
        <v>2</v>
      </c>
      <c r="M68" s="59">
        <v>2</v>
      </c>
      <c r="N68" s="59">
        <v>2</v>
      </c>
      <c r="O68" s="121">
        <v>1</v>
      </c>
      <c r="P68" s="58">
        <v>0.46429999999999999</v>
      </c>
      <c r="Q68" s="58">
        <v>0.52380000000000004</v>
      </c>
      <c r="R68" s="96">
        <v>0.5</v>
      </c>
      <c r="S68" s="58">
        <v>3.0300000000000001E-2</v>
      </c>
      <c r="T68" s="58">
        <v>0.15790000000000001</v>
      </c>
      <c r="U68" s="96">
        <v>0</v>
      </c>
      <c r="V68" s="58">
        <v>9.3799999999999994E-2</v>
      </c>
      <c r="W68" s="58">
        <v>6.6699999999999995E-2</v>
      </c>
      <c r="X68" s="96">
        <v>0</v>
      </c>
      <c r="Y68" s="58">
        <v>0.2424</v>
      </c>
      <c r="Z68" s="58">
        <v>0.13159999999999999</v>
      </c>
      <c r="AA68" s="96">
        <v>0.5</v>
      </c>
      <c r="AB68" s="58">
        <v>3.1300000000000001E-2</v>
      </c>
      <c r="AC68" s="58">
        <v>6.6699999999999995E-2</v>
      </c>
      <c r="AD68" s="59">
        <v>2</v>
      </c>
      <c r="AE68" s="58">
        <v>0.69820000000000004</v>
      </c>
      <c r="AF68" s="58">
        <v>0.69120000000000004</v>
      </c>
      <c r="AG68" s="59">
        <v>3</v>
      </c>
      <c r="AH68" s="58">
        <v>1</v>
      </c>
      <c r="AI68" s="58">
        <v>1</v>
      </c>
      <c r="AJ68" s="59">
        <v>2</v>
      </c>
      <c r="AK68" s="58">
        <v>0.105</v>
      </c>
      <c r="AL68" s="58">
        <v>0.1368</v>
      </c>
      <c r="AM68" s="59">
        <v>0</v>
      </c>
      <c r="AN68" s="58">
        <v>0.28100000000000003</v>
      </c>
      <c r="AO68" s="58">
        <v>0.19</v>
      </c>
      <c r="AP68" s="101">
        <v>1</v>
      </c>
      <c r="AQ68" s="4">
        <v>40</v>
      </c>
      <c r="AR68" s="4"/>
    </row>
    <row r="69" spans="1:44" x14ac:dyDescent="0.25">
      <c r="A69" s="1" t="s">
        <v>456</v>
      </c>
      <c r="B69" s="2" t="s">
        <v>463</v>
      </c>
      <c r="C69" s="2" t="s">
        <v>85</v>
      </c>
      <c r="D69" s="2" t="s">
        <v>153</v>
      </c>
      <c r="E69" s="3">
        <v>29139</v>
      </c>
      <c r="F69" s="59">
        <v>2</v>
      </c>
      <c r="G69" s="59">
        <v>2</v>
      </c>
      <c r="H69" s="59">
        <v>1</v>
      </c>
      <c r="I69" s="59">
        <v>2</v>
      </c>
      <c r="J69" s="59">
        <v>2</v>
      </c>
      <c r="K69" s="59" t="s">
        <v>23</v>
      </c>
      <c r="L69" s="59">
        <v>2</v>
      </c>
      <c r="M69" s="59">
        <v>2</v>
      </c>
      <c r="N69" s="59">
        <v>2</v>
      </c>
      <c r="O69" s="121">
        <v>3</v>
      </c>
      <c r="P69" s="58" t="s">
        <v>23</v>
      </c>
      <c r="Q69" s="58">
        <v>1</v>
      </c>
      <c r="R69" s="96" t="s">
        <v>23</v>
      </c>
      <c r="S69" s="58" t="s">
        <v>23</v>
      </c>
      <c r="T69" s="58" t="s">
        <v>23</v>
      </c>
      <c r="U69" s="96">
        <v>0</v>
      </c>
      <c r="V69" s="58">
        <v>0</v>
      </c>
      <c r="W69" s="58">
        <v>0</v>
      </c>
      <c r="X69" s="96" t="s">
        <v>23</v>
      </c>
      <c r="Y69" s="58" t="s">
        <v>23</v>
      </c>
      <c r="Z69" s="58" t="s">
        <v>23</v>
      </c>
      <c r="AA69" s="96">
        <v>0</v>
      </c>
      <c r="AB69" s="58">
        <v>0</v>
      </c>
      <c r="AC69" s="58">
        <v>0</v>
      </c>
      <c r="AD69" s="59">
        <v>0</v>
      </c>
      <c r="AE69" s="58">
        <v>5.04E-2</v>
      </c>
      <c r="AF69" s="58">
        <v>1.72E-2</v>
      </c>
      <c r="AG69" s="59" t="s">
        <v>23</v>
      </c>
      <c r="AH69" s="58">
        <v>1</v>
      </c>
      <c r="AI69" s="58">
        <v>1</v>
      </c>
      <c r="AJ69" s="59">
        <v>3</v>
      </c>
      <c r="AK69" s="58">
        <v>0</v>
      </c>
      <c r="AL69" s="58">
        <v>0</v>
      </c>
      <c r="AM69" s="59">
        <v>0</v>
      </c>
      <c r="AN69" s="58">
        <v>1.4999999999999999E-2</v>
      </c>
      <c r="AO69" s="58" t="s">
        <v>23</v>
      </c>
      <c r="AP69" s="101">
        <v>1</v>
      </c>
      <c r="AQ69" s="4">
        <v>34</v>
      </c>
      <c r="AR69" s="4"/>
    </row>
    <row r="70" spans="1:44" x14ac:dyDescent="0.25">
      <c r="A70" s="1" t="s">
        <v>460</v>
      </c>
      <c r="B70" s="2" t="s">
        <v>486</v>
      </c>
      <c r="C70" s="2" t="s">
        <v>77</v>
      </c>
      <c r="D70" s="2" t="s">
        <v>153</v>
      </c>
      <c r="E70" s="3">
        <v>29835</v>
      </c>
      <c r="F70" s="59">
        <v>2</v>
      </c>
      <c r="G70" s="59">
        <v>2</v>
      </c>
      <c r="H70" s="59" t="s">
        <v>23</v>
      </c>
      <c r="I70" s="59">
        <v>2</v>
      </c>
      <c r="J70" s="59" t="s">
        <v>23</v>
      </c>
      <c r="K70" s="59" t="s">
        <v>23</v>
      </c>
      <c r="L70" s="59" t="s">
        <v>23</v>
      </c>
      <c r="M70" s="59">
        <v>2</v>
      </c>
      <c r="N70" s="59" t="s">
        <v>23</v>
      </c>
      <c r="O70" s="121" t="s">
        <v>23</v>
      </c>
      <c r="P70" s="58" t="s">
        <v>23</v>
      </c>
      <c r="Q70" s="59" t="s">
        <v>23</v>
      </c>
      <c r="R70" s="96" t="s">
        <v>23</v>
      </c>
      <c r="S70" s="58" t="s">
        <v>23</v>
      </c>
      <c r="T70" s="58" t="s">
        <v>23</v>
      </c>
      <c r="U70" s="96" t="s">
        <v>23</v>
      </c>
      <c r="V70" s="58" t="s">
        <v>23</v>
      </c>
      <c r="W70" s="58" t="s">
        <v>23</v>
      </c>
      <c r="X70" s="96" t="s">
        <v>23</v>
      </c>
      <c r="Y70" s="58" t="s">
        <v>23</v>
      </c>
      <c r="Z70" s="58" t="s">
        <v>23</v>
      </c>
      <c r="AA70" s="96" t="s">
        <v>23</v>
      </c>
      <c r="AB70" s="58" t="s">
        <v>23</v>
      </c>
      <c r="AC70" s="58" t="s">
        <v>23</v>
      </c>
      <c r="AD70" s="59">
        <v>3</v>
      </c>
      <c r="AE70" s="58" t="s">
        <v>23</v>
      </c>
      <c r="AF70" s="58">
        <v>1</v>
      </c>
      <c r="AG70" s="59" t="s">
        <v>23</v>
      </c>
      <c r="AH70" s="58">
        <v>1</v>
      </c>
      <c r="AI70" s="58">
        <v>1</v>
      </c>
      <c r="AJ70" s="59">
        <v>3</v>
      </c>
      <c r="AK70" s="58" t="s">
        <v>23</v>
      </c>
      <c r="AL70" s="58">
        <v>0</v>
      </c>
      <c r="AM70" s="59">
        <v>3</v>
      </c>
      <c r="AN70" s="58" t="s">
        <v>23</v>
      </c>
      <c r="AO70" s="58">
        <v>1</v>
      </c>
      <c r="AP70" s="101">
        <v>1</v>
      </c>
      <c r="AQ70" s="4">
        <v>17</v>
      </c>
      <c r="AR70" s="4"/>
    </row>
    <row r="71" spans="1:44" x14ac:dyDescent="0.25">
      <c r="A71" s="1" t="s">
        <v>457</v>
      </c>
      <c r="B71" s="2" t="s">
        <v>464</v>
      </c>
      <c r="C71" s="2" t="s">
        <v>85</v>
      </c>
      <c r="D71" s="2" t="s">
        <v>153</v>
      </c>
      <c r="E71" s="3">
        <v>29141</v>
      </c>
      <c r="F71" s="59">
        <v>2</v>
      </c>
      <c r="G71" s="59">
        <v>2</v>
      </c>
      <c r="H71" s="59" t="s">
        <v>23</v>
      </c>
      <c r="I71" s="59">
        <v>2</v>
      </c>
      <c r="J71" s="59" t="s">
        <v>23</v>
      </c>
      <c r="K71" s="59" t="s">
        <v>23</v>
      </c>
      <c r="L71" s="59">
        <v>2</v>
      </c>
      <c r="M71" s="59">
        <v>2</v>
      </c>
      <c r="N71" s="59">
        <v>2</v>
      </c>
      <c r="O71" s="121" t="s">
        <v>23</v>
      </c>
      <c r="P71" s="58" t="s">
        <v>23</v>
      </c>
      <c r="Q71" s="59" t="s">
        <v>23</v>
      </c>
      <c r="R71" s="96" t="s">
        <v>23</v>
      </c>
      <c r="S71" s="58" t="s">
        <v>23</v>
      </c>
      <c r="T71" s="58" t="s">
        <v>23</v>
      </c>
      <c r="U71" s="96" t="s">
        <v>23</v>
      </c>
      <c r="V71" s="58" t="s">
        <v>23</v>
      </c>
      <c r="W71" s="58" t="s">
        <v>23</v>
      </c>
      <c r="X71" s="96" t="s">
        <v>23</v>
      </c>
      <c r="Y71" s="58" t="s">
        <v>23</v>
      </c>
      <c r="Z71" s="58" t="s">
        <v>23</v>
      </c>
      <c r="AA71" s="96" t="s">
        <v>23</v>
      </c>
      <c r="AB71" s="58" t="s">
        <v>23</v>
      </c>
      <c r="AC71" s="58" t="s">
        <v>23</v>
      </c>
      <c r="AD71" s="59">
        <v>3</v>
      </c>
      <c r="AE71" s="58">
        <v>1</v>
      </c>
      <c r="AF71" s="58">
        <v>1</v>
      </c>
      <c r="AG71" s="59" t="s">
        <v>23</v>
      </c>
      <c r="AH71" s="58">
        <v>1</v>
      </c>
      <c r="AI71" s="58">
        <v>1</v>
      </c>
      <c r="AJ71" s="59">
        <v>3</v>
      </c>
      <c r="AK71" s="60">
        <v>0</v>
      </c>
      <c r="AL71" s="60">
        <v>0</v>
      </c>
      <c r="AM71" s="59">
        <v>3</v>
      </c>
      <c r="AN71" s="58">
        <v>0</v>
      </c>
      <c r="AO71" s="58">
        <v>1</v>
      </c>
      <c r="AP71" s="101">
        <v>1</v>
      </c>
      <c r="AQ71" s="4">
        <v>21</v>
      </c>
      <c r="AR71" s="4"/>
    </row>
    <row r="72" spans="1:44" x14ac:dyDescent="0.25">
      <c r="A72" s="1" t="s">
        <v>483</v>
      </c>
      <c r="B72" s="2" t="s">
        <v>487</v>
      </c>
      <c r="C72" s="2" t="s">
        <v>59</v>
      </c>
      <c r="D72" s="2" t="s">
        <v>153</v>
      </c>
      <c r="E72" s="3">
        <v>29601</v>
      </c>
      <c r="F72" s="59">
        <v>2</v>
      </c>
      <c r="G72" s="59">
        <v>2</v>
      </c>
      <c r="H72" s="59" t="s">
        <v>23</v>
      </c>
      <c r="I72" s="59">
        <v>2</v>
      </c>
      <c r="J72" s="59" t="s">
        <v>23</v>
      </c>
      <c r="K72" s="59" t="s">
        <v>23</v>
      </c>
      <c r="L72" s="59">
        <v>2</v>
      </c>
      <c r="M72" s="59">
        <v>2</v>
      </c>
      <c r="N72" s="59">
        <v>2</v>
      </c>
      <c r="O72" s="121" t="s">
        <v>23</v>
      </c>
      <c r="P72" s="58" t="s">
        <v>23</v>
      </c>
      <c r="Q72" s="59" t="s">
        <v>23</v>
      </c>
      <c r="R72" s="96" t="s">
        <v>23</v>
      </c>
      <c r="S72" s="58" t="s">
        <v>23</v>
      </c>
      <c r="T72" s="58" t="s">
        <v>23</v>
      </c>
      <c r="U72" s="96" t="s">
        <v>23</v>
      </c>
      <c r="V72" s="58" t="s">
        <v>23</v>
      </c>
      <c r="W72" s="58" t="s">
        <v>23</v>
      </c>
      <c r="X72" s="96" t="s">
        <v>23</v>
      </c>
      <c r="Y72" s="58" t="s">
        <v>23</v>
      </c>
      <c r="Z72" s="58" t="s">
        <v>23</v>
      </c>
      <c r="AA72" s="96" t="s">
        <v>23</v>
      </c>
      <c r="AB72" s="58" t="s">
        <v>23</v>
      </c>
      <c r="AC72" s="58" t="s">
        <v>23</v>
      </c>
      <c r="AD72" s="59">
        <v>0</v>
      </c>
      <c r="AE72" s="60">
        <v>1</v>
      </c>
      <c r="AF72" s="60" t="s">
        <v>23</v>
      </c>
      <c r="AG72" s="59" t="s">
        <v>23</v>
      </c>
      <c r="AH72" s="58">
        <v>1</v>
      </c>
      <c r="AI72" s="58">
        <v>1</v>
      </c>
      <c r="AJ72" s="59" t="s">
        <v>23</v>
      </c>
      <c r="AK72" s="60" t="s">
        <v>23</v>
      </c>
      <c r="AL72" s="60" t="s">
        <v>23</v>
      </c>
      <c r="AM72" s="59">
        <v>3</v>
      </c>
      <c r="AN72" s="58">
        <v>0.23100000000000001</v>
      </c>
      <c r="AO72" s="58">
        <v>0.41699999999999998</v>
      </c>
      <c r="AP72" s="101">
        <v>1</v>
      </c>
      <c r="AQ72" s="4">
        <v>21</v>
      </c>
      <c r="AR72" s="4"/>
    </row>
    <row r="73" spans="1:44" x14ac:dyDescent="0.25">
      <c r="A73" s="1" t="s">
        <v>458</v>
      </c>
      <c r="B73" s="2" t="s">
        <v>488</v>
      </c>
      <c r="C73" s="2" t="s">
        <v>243</v>
      </c>
      <c r="D73" s="2" t="s">
        <v>153</v>
      </c>
      <c r="E73" s="3">
        <v>29201</v>
      </c>
      <c r="F73" s="59">
        <v>2</v>
      </c>
      <c r="G73" s="59">
        <v>2</v>
      </c>
      <c r="H73" s="59">
        <v>2</v>
      </c>
      <c r="I73" s="59">
        <v>2</v>
      </c>
      <c r="J73" s="59">
        <v>1</v>
      </c>
      <c r="K73" s="59">
        <v>2</v>
      </c>
      <c r="L73" s="59">
        <v>2</v>
      </c>
      <c r="M73" s="59">
        <v>2</v>
      </c>
      <c r="N73" s="59">
        <v>1</v>
      </c>
      <c r="O73" s="121">
        <v>2</v>
      </c>
      <c r="P73" s="58">
        <v>0.68920000000000003</v>
      </c>
      <c r="Q73" s="58">
        <v>0.63109999999999999</v>
      </c>
      <c r="R73" s="96">
        <v>1</v>
      </c>
      <c r="S73" s="58">
        <v>0.26279999999999998</v>
      </c>
      <c r="T73" s="58">
        <v>0.21640000000000001</v>
      </c>
      <c r="U73" s="96">
        <v>1</v>
      </c>
      <c r="V73" s="58">
        <v>0.18579999999999999</v>
      </c>
      <c r="W73" s="58">
        <v>0.13819999999999999</v>
      </c>
      <c r="X73" s="96">
        <v>0</v>
      </c>
      <c r="Y73" s="58">
        <v>0.1613</v>
      </c>
      <c r="Z73" s="58">
        <v>0.15790000000000001</v>
      </c>
      <c r="AA73" s="96">
        <v>0</v>
      </c>
      <c r="AB73" s="58">
        <v>0.1</v>
      </c>
      <c r="AC73" s="58">
        <v>5.1900000000000002E-2</v>
      </c>
      <c r="AD73" s="59">
        <v>3</v>
      </c>
      <c r="AE73" s="60">
        <v>0.84870000000000001</v>
      </c>
      <c r="AF73" s="60">
        <v>0.84299999999999997</v>
      </c>
      <c r="AG73" s="59">
        <v>3</v>
      </c>
      <c r="AH73" s="58">
        <v>1</v>
      </c>
      <c r="AI73" s="58">
        <v>1</v>
      </c>
      <c r="AJ73" s="59">
        <v>2</v>
      </c>
      <c r="AK73" s="60">
        <v>3.9300000000000002E-2</v>
      </c>
      <c r="AL73" s="60">
        <v>0.11700000000000001</v>
      </c>
      <c r="AM73" s="59">
        <v>0</v>
      </c>
      <c r="AN73" s="58">
        <v>0.224</v>
      </c>
      <c r="AO73" s="58">
        <v>0.188</v>
      </c>
      <c r="AP73" s="101">
        <v>1</v>
      </c>
      <c r="AQ73" s="4">
        <v>39</v>
      </c>
      <c r="AR73" s="4"/>
    </row>
    <row r="74" spans="1:44" x14ac:dyDescent="0.25">
      <c r="A74" s="1" t="s">
        <v>459</v>
      </c>
      <c r="B74" s="2" t="s">
        <v>489</v>
      </c>
      <c r="C74" s="2" t="s">
        <v>243</v>
      </c>
      <c r="D74" s="2" t="s">
        <v>153</v>
      </c>
      <c r="E74" s="3">
        <v>29210</v>
      </c>
      <c r="F74" s="59">
        <v>2</v>
      </c>
      <c r="G74" s="59">
        <v>2</v>
      </c>
      <c r="H74" s="59">
        <v>1</v>
      </c>
      <c r="I74" s="59">
        <v>2</v>
      </c>
      <c r="J74" s="59">
        <v>2</v>
      </c>
      <c r="K74" s="59" t="s">
        <v>23</v>
      </c>
      <c r="L74" s="59">
        <v>2</v>
      </c>
      <c r="M74" s="59">
        <v>2</v>
      </c>
      <c r="N74" s="59">
        <v>2</v>
      </c>
      <c r="O74" s="121">
        <v>0</v>
      </c>
      <c r="P74" s="58">
        <v>0.5333</v>
      </c>
      <c r="Q74" s="58">
        <v>0.33329999999999999</v>
      </c>
      <c r="R74" s="96">
        <v>0.5</v>
      </c>
      <c r="S74" s="58">
        <v>0</v>
      </c>
      <c r="T74" s="58">
        <v>0.16669999999999999</v>
      </c>
      <c r="U74" s="96">
        <v>1.5</v>
      </c>
      <c r="V74" s="58">
        <v>0.36359999999999998</v>
      </c>
      <c r="W74" s="58">
        <v>0.35709999999999997</v>
      </c>
      <c r="X74" s="96">
        <v>0.5</v>
      </c>
      <c r="Y74" s="58">
        <v>0</v>
      </c>
      <c r="Z74" s="58">
        <v>0.16669999999999999</v>
      </c>
      <c r="AA74" s="96">
        <v>0</v>
      </c>
      <c r="AB74" s="58">
        <v>0.18179999999999999</v>
      </c>
      <c r="AC74" s="58">
        <v>7.1400000000000005E-2</v>
      </c>
      <c r="AD74" s="59">
        <v>0</v>
      </c>
      <c r="AE74" s="58">
        <v>0</v>
      </c>
      <c r="AF74" s="58">
        <v>0</v>
      </c>
      <c r="AG74" s="59">
        <v>3</v>
      </c>
      <c r="AH74" s="58">
        <v>1</v>
      </c>
      <c r="AI74" s="58">
        <v>1</v>
      </c>
      <c r="AJ74" s="59">
        <v>3</v>
      </c>
      <c r="AK74" s="58" t="s">
        <v>23</v>
      </c>
      <c r="AL74" s="58">
        <v>3.49E-2</v>
      </c>
      <c r="AM74" s="59">
        <v>1</v>
      </c>
      <c r="AN74" s="58">
        <v>6.3E-2</v>
      </c>
      <c r="AO74" s="58">
        <v>7.0999999999999994E-2</v>
      </c>
      <c r="AP74" s="101">
        <v>1</v>
      </c>
      <c r="AQ74" s="4">
        <v>37</v>
      </c>
      <c r="AR74" s="4"/>
    </row>
    <row r="75" spans="1:44" x14ac:dyDescent="0.25">
      <c r="A75" s="1" t="s">
        <v>86</v>
      </c>
      <c r="B75" s="2" t="s">
        <v>216</v>
      </c>
      <c r="C75" s="2" t="s">
        <v>279</v>
      </c>
      <c r="D75" s="2" t="s">
        <v>153</v>
      </c>
      <c r="E75" s="3">
        <v>29322</v>
      </c>
      <c r="F75" s="59">
        <v>2</v>
      </c>
      <c r="G75" s="59">
        <v>2</v>
      </c>
      <c r="H75" s="59">
        <v>1</v>
      </c>
      <c r="I75" s="59">
        <v>2</v>
      </c>
      <c r="J75" s="59">
        <v>1</v>
      </c>
      <c r="K75" s="59">
        <v>1</v>
      </c>
      <c r="L75" s="59">
        <v>1</v>
      </c>
      <c r="M75" s="59">
        <v>2</v>
      </c>
      <c r="N75" s="59">
        <v>2</v>
      </c>
      <c r="O75" s="121">
        <v>0</v>
      </c>
      <c r="P75" s="58">
        <v>0.55169999999999997</v>
      </c>
      <c r="Q75" s="58">
        <v>0.42309999999999998</v>
      </c>
      <c r="R75" s="96">
        <v>1</v>
      </c>
      <c r="S75" s="58">
        <v>0.28570000000000001</v>
      </c>
      <c r="T75" s="58">
        <v>0.22639999999999999</v>
      </c>
      <c r="U75" s="96">
        <v>1</v>
      </c>
      <c r="V75" s="58">
        <v>0</v>
      </c>
      <c r="W75" s="58">
        <v>0.1351</v>
      </c>
      <c r="X75" s="96">
        <v>1.5</v>
      </c>
      <c r="Y75" s="58">
        <v>0.34</v>
      </c>
      <c r="Z75" s="58">
        <v>0.22639999999999999</v>
      </c>
      <c r="AA75" s="96">
        <v>1.5</v>
      </c>
      <c r="AB75" s="58">
        <v>8.6999999999999994E-2</v>
      </c>
      <c r="AC75" s="58">
        <v>0.15379999999999999</v>
      </c>
      <c r="AD75" s="59">
        <v>2</v>
      </c>
      <c r="AE75" s="58">
        <v>0.76270000000000004</v>
      </c>
      <c r="AF75" s="58">
        <v>0.64480000000000004</v>
      </c>
      <c r="AG75" s="59">
        <v>3</v>
      </c>
      <c r="AH75" s="58">
        <v>1</v>
      </c>
      <c r="AI75" s="58">
        <v>1</v>
      </c>
      <c r="AJ75" s="59">
        <v>2</v>
      </c>
      <c r="AK75" s="58">
        <v>6.9800000000000001E-2</v>
      </c>
      <c r="AL75" s="58">
        <v>0.1095</v>
      </c>
      <c r="AM75" s="59">
        <v>1</v>
      </c>
      <c r="AN75" s="58">
        <v>0.24399999999999999</v>
      </c>
      <c r="AO75" s="58">
        <v>0.27500000000000002</v>
      </c>
      <c r="AP75" s="101">
        <v>1</v>
      </c>
      <c r="AQ75" s="4">
        <v>40</v>
      </c>
      <c r="AR75" s="4"/>
    </row>
    <row r="76" spans="1:44" x14ac:dyDescent="0.25">
      <c r="A76" s="1" t="s">
        <v>87</v>
      </c>
      <c r="B76" s="2" t="s">
        <v>217</v>
      </c>
      <c r="C76" s="2" t="s">
        <v>280</v>
      </c>
      <c r="D76" s="2" t="s">
        <v>153</v>
      </c>
      <c r="E76" s="3">
        <v>29323</v>
      </c>
      <c r="F76" s="59">
        <v>2</v>
      </c>
      <c r="G76" s="59">
        <v>2</v>
      </c>
      <c r="H76" s="59">
        <v>2</v>
      </c>
      <c r="I76" s="59">
        <v>2</v>
      </c>
      <c r="J76" s="59">
        <v>1</v>
      </c>
      <c r="K76" s="59">
        <v>2</v>
      </c>
      <c r="L76" s="59">
        <v>1</v>
      </c>
      <c r="M76" s="59">
        <v>2</v>
      </c>
      <c r="N76" s="59">
        <v>2</v>
      </c>
      <c r="O76" s="121">
        <v>3</v>
      </c>
      <c r="P76" s="58">
        <v>0.46589999999999998</v>
      </c>
      <c r="Q76" s="58">
        <v>0.73680000000000001</v>
      </c>
      <c r="R76" s="96">
        <v>0</v>
      </c>
      <c r="S76" s="58">
        <v>0.30530000000000002</v>
      </c>
      <c r="T76" s="58">
        <v>0.1757</v>
      </c>
      <c r="U76" s="96">
        <v>0</v>
      </c>
      <c r="V76" s="58">
        <v>0.13</v>
      </c>
      <c r="W76" s="58">
        <v>8.6999999999999994E-2</v>
      </c>
      <c r="X76" s="96">
        <v>0</v>
      </c>
      <c r="Y76" s="58">
        <v>0.31059999999999999</v>
      </c>
      <c r="Z76" s="58">
        <v>0.1497</v>
      </c>
      <c r="AA76" s="96">
        <v>0</v>
      </c>
      <c r="AB76" s="58">
        <v>0.1089</v>
      </c>
      <c r="AC76" s="58">
        <v>6.0900000000000003E-2</v>
      </c>
      <c r="AD76" s="59">
        <v>3</v>
      </c>
      <c r="AE76" s="58">
        <v>0.73209999999999997</v>
      </c>
      <c r="AF76" s="58">
        <v>0.71530000000000005</v>
      </c>
      <c r="AG76" s="59">
        <v>3</v>
      </c>
      <c r="AH76" s="58">
        <v>1</v>
      </c>
      <c r="AI76" s="58">
        <v>1</v>
      </c>
      <c r="AJ76" s="59">
        <v>2</v>
      </c>
      <c r="AK76" s="58">
        <v>0.10290000000000001</v>
      </c>
      <c r="AL76" s="58">
        <v>0.1212</v>
      </c>
      <c r="AM76" s="59">
        <v>2</v>
      </c>
      <c r="AN76" s="58">
        <v>0.28399999999999997</v>
      </c>
      <c r="AO76" s="58">
        <v>0.372</v>
      </c>
      <c r="AP76" s="101">
        <v>1</v>
      </c>
      <c r="AQ76" s="4">
        <v>40</v>
      </c>
      <c r="AR76" s="4"/>
    </row>
    <row r="77" spans="1:44" x14ac:dyDescent="0.25">
      <c r="A77" s="1" t="s">
        <v>88</v>
      </c>
      <c r="B77" s="2" t="s">
        <v>218</v>
      </c>
      <c r="C77" s="2" t="s">
        <v>281</v>
      </c>
      <c r="D77" s="2" t="s">
        <v>153</v>
      </c>
      <c r="E77" s="3">
        <v>29346</v>
      </c>
      <c r="F77" s="59">
        <v>2</v>
      </c>
      <c r="G77" s="59">
        <v>2</v>
      </c>
      <c r="H77" s="59">
        <v>2</v>
      </c>
      <c r="I77" s="59">
        <v>2</v>
      </c>
      <c r="J77" s="59">
        <v>2</v>
      </c>
      <c r="K77" s="59">
        <v>2</v>
      </c>
      <c r="L77" s="59">
        <v>2</v>
      </c>
      <c r="M77" s="59">
        <v>2</v>
      </c>
      <c r="N77" s="59">
        <v>2</v>
      </c>
      <c r="O77" s="121">
        <v>2</v>
      </c>
      <c r="P77" s="58">
        <v>0.65629999999999999</v>
      </c>
      <c r="Q77" s="58">
        <v>0.60870000000000002</v>
      </c>
      <c r="R77" s="96">
        <v>1</v>
      </c>
      <c r="S77" s="58">
        <v>0.20930000000000001</v>
      </c>
      <c r="T77" s="58">
        <v>0.22220000000000001</v>
      </c>
      <c r="U77" s="96">
        <v>0.5</v>
      </c>
      <c r="V77" s="58">
        <v>3.1300000000000001E-2</v>
      </c>
      <c r="W77" s="58">
        <v>9.0899999999999995E-2</v>
      </c>
      <c r="X77" s="96">
        <v>0</v>
      </c>
      <c r="Y77" s="58">
        <v>0.25580000000000003</v>
      </c>
      <c r="Z77" s="58">
        <v>0.1852</v>
      </c>
      <c r="AA77" s="96">
        <v>0.5</v>
      </c>
      <c r="AB77" s="58">
        <v>0</v>
      </c>
      <c r="AC77" s="58">
        <v>6.0600000000000001E-2</v>
      </c>
      <c r="AD77" s="59">
        <v>2</v>
      </c>
      <c r="AE77" s="58">
        <v>0.71160000000000001</v>
      </c>
      <c r="AF77" s="58">
        <v>0.69299999999999995</v>
      </c>
      <c r="AG77" s="59">
        <v>3</v>
      </c>
      <c r="AH77" s="58">
        <v>1</v>
      </c>
      <c r="AI77" s="58">
        <v>1</v>
      </c>
      <c r="AJ77" s="59">
        <v>0</v>
      </c>
      <c r="AK77" s="58">
        <v>0.1135</v>
      </c>
      <c r="AL77" s="58">
        <v>0.15939999999999999</v>
      </c>
      <c r="AM77" s="59">
        <v>2</v>
      </c>
      <c r="AN77" s="58">
        <v>0.28299999999999997</v>
      </c>
      <c r="AO77" s="58">
        <v>0.313</v>
      </c>
      <c r="AP77" s="101">
        <v>1</v>
      </c>
      <c r="AQ77" s="4">
        <v>40</v>
      </c>
      <c r="AR77" s="4"/>
    </row>
    <row r="78" spans="1:44" x14ac:dyDescent="0.25">
      <c r="A78" s="1" t="s">
        <v>89</v>
      </c>
      <c r="B78" s="2" t="s">
        <v>219</v>
      </c>
      <c r="C78" s="2" t="s">
        <v>282</v>
      </c>
      <c r="D78" s="2" t="s">
        <v>153</v>
      </c>
      <c r="E78" s="3">
        <v>29388</v>
      </c>
      <c r="F78" s="59">
        <v>2</v>
      </c>
      <c r="G78" s="59">
        <v>2</v>
      </c>
      <c r="H78" s="59">
        <v>1</v>
      </c>
      <c r="I78" s="59">
        <v>2</v>
      </c>
      <c r="J78" s="59">
        <v>1</v>
      </c>
      <c r="K78" s="59">
        <v>2</v>
      </c>
      <c r="L78" s="59">
        <v>2</v>
      </c>
      <c r="M78" s="59">
        <v>2</v>
      </c>
      <c r="N78" s="59">
        <v>2</v>
      </c>
      <c r="O78" s="121">
        <v>0</v>
      </c>
      <c r="P78" s="58">
        <v>0.54549999999999998</v>
      </c>
      <c r="Q78" s="58">
        <v>0.36359999999999998</v>
      </c>
      <c r="R78" s="96">
        <v>1</v>
      </c>
      <c r="S78" s="58">
        <v>0.1081</v>
      </c>
      <c r="T78" s="58">
        <v>0.21049999999999999</v>
      </c>
      <c r="U78" s="96">
        <v>0.5</v>
      </c>
      <c r="V78" s="58">
        <v>2.5600000000000001E-2</v>
      </c>
      <c r="W78" s="58">
        <v>3.0300000000000001E-2</v>
      </c>
      <c r="X78" s="96">
        <v>1.5</v>
      </c>
      <c r="Y78" s="58">
        <v>0.16220000000000001</v>
      </c>
      <c r="Z78" s="58">
        <v>0.28070000000000001</v>
      </c>
      <c r="AA78" s="96">
        <v>0.5</v>
      </c>
      <c r="AB78" s="58">
        <v>2.63E-2</v>
      </c>
      <c r="AC78" s="58">
        <v>6.0600000000000001E-2</v>
      </c>
      <c r="AD78" s="59">
        <v>0</v>
      </c>
      <c r="AE78" s="58">
        <v>0.62429999999999997</v>
      </c>
      <c r="AF78" s="58">
        <v>0.57950000000000002</v>
      </c>
      <c r="AG78" s="59">
        <v>3</v>
      </c>
      <c r="AH78" s="58">
        <v>1</v>
      </c>
      <c r="AI78" s="58">
        <v>1</v>
      </c>
      <c r="AJ78" s="59">
        <v>0</v>
      </c>
      <c r="AK78" s="58">
        <v>0.1216</v>
      </c>
      <c r="AL78" s="58">
        <v>0.2145</v>
      </c>
      <c r="AM78" s="59">
        <v>2</v>
      </c>
      <c r="AN78" s="58">
        <v>0.29599999999999999</v>
      </c>
      <c r="AO78" s="58">
        <v>0.34599999999999997</v>
      </c>
      <c r="AP78" s="101">
        <v>1</v>
      </c>
      <c r="AQ78" s="4">
        <v>40</v>
      </c>
      <c r="AR78" s="4"/>
    </row>
    <row r="79" spans="1:44" x14ac:dyDescent="0.25">
      <c r="A79" s="1" t="s">
        <v>90</v>
      </c>
      <c r="B79" s="2" t="s">
        <v>220</v>
      </c>
      <c r="C79" s="2" t="s">
        <v>283</v>
      </c>
      <c r="D79" s="2" t="s">
        <v>153</v>
      </c>
      <c r="E79" s="3">
        <v>29334</v>
      </c>
      <c r="F79" s="59">
        <v>2</v>
      </c>
      <c r="G79" s="59">
        <v>2</v>
      </c>
      <c r="H79" s="59">
        <v>2</v>
      </c>
      <c r="I79" s="59">
        <v>2</v>
      </c>
      <c r="J79" s="59">
        <v>1</v>
      </c>
      <c r="K79" s="59">
        <v>2</v>
      </c>
      <c r="L79" s="59">
        <v>2</v>
      </c>
      <c r="M79" s="59">
        <v>2</v>
      </c>
      <c r="N79" s="59">
        <v>2</v>
      </c>
      <c r="O79" s="121">
        <v>3</v>
      </c>
      <c r="P79" s="58">
        <v>0.66279999999999994</v>
      </c>
      <c r="Q79" s="58">
        <v>0.71130000000000004</v>
      </c>
      <c r="R79" s="96">
        <v>1</v>
      </c>
      <c r="S79" s="58">
        <v>0.188</v>
      </c>
      <c r="T79" s="58">
        <v>0.2132</v>
      </c>
      <c r="U79" s="96">
        <v>0</v>
      </c>
      <c r="V79" s="58">
        <v>0.1075</v>
      </c>
      <c r="W79" s="58">
        <v>7.2700000000000001E-2</v>
      </c>
      <c r="X79" s="96">
        <v>0.5</v>
      </c>
      <c r="Y79" s="58">
        <v>0.17949999999999999</v>
      </c>
      <c r="Z79" s="58">
        <v>0.2074</v>
      </c>
      <c r="AA79" s="96">
        <v>0</v>
      </c>
      <c r="AB79" s="58">
        <v>8.5999999999999993E-2</v>
      </c>
      <c r="AC79" s="58">
        <v>5.45E-2</v>
      </c>
      <c r="AD79" s="59">
        <v>3</v>
      </c>
      <c r="AE79" s="58">
        <v>0.79620000000000002</v>
      </c>
      <c r="AF79" s="58">
        <v>0.77470000000000006</v>
      </c>
      <c r="AG79" s="59">
        <v>3</v>
      </c>
      <c r="AH79" s="58">
        <v>1</v>
      </c>
      <c r="AI79" s="58">
        <v>1</v>
      </c>
      <c r="AJ79" s="59">
        <v>2</v>
      </c>
      <c r="AK79" s="58">
        <v>7.8200000000000006E-2</v>
      </c>
      <c r="AL79" s="58">
        <v>0.13800000000000001</v>
      </c>
      <c r="AM79" s="59">
        <v>0</v>
      </c>
      <c r="AN79" s="58">
        <v>0.28399999999999997</v>
      </c>
      <c r="AO79" s="58">
        <v>0.28000000000000003</v>
      </c>
      <c r="AP79" s="101">
        <v>1</v>
      </c>
      <c r="AQ79" s="4">
        <v>40</v>
      </c>
      <c r="AR79" s="4"/>
    </row>
    <row r="80" spans="1:44" x14ac:dyDescent="0.25">
      <c r="A80" s="1" t="s">
        <v>91</v>
      </c>
      <c r="B80" s="2" t="s">
        <v>221</v>
      </c>
      <c r="C80" s="2" t="s">
        <v>284</v>
      </c>
      <c r="D80" s="2" t="s">
        <v>153</v>
      </c>
      <c r="E80" s="3">
        <v>29376</v>
      </c>
      <c r="F80" s="59">
        <v>2</v>
      </c>
      <c r="G80" s="59">
        <v>2</v>
      </c>
      <c r="H80" s="59">
        <v>2</v>
      </c>
      <c r="I80" s="59">
        <v>2</v>
      </c>
      <c r="J80" s="59">
        <v>2</v>
      </c>
      <c r="K80" s="59">
        <v>2</v>
      </c>
      <c r="L80" s="59">
        <v>2</v>
      </c>
      <c r="M80" s="59">
        <v>2</v>
      </c>
      <c r="N80" s="59">
        <v>2</v>
      </c>
      <c r="O80" s="121">
        <v>2</v>
      </c>
      <c r="P80" s="58">
        <v>0.58819999999999995</v>
      </c>
      <c r="Q80" s="58">
        <v>0.64559999999999995</v>
      </c>
      <c r="R80" s="96">
        <v>0.5</v>
      </c>
      <c r="S80" s="58">
        <v>0.13159999999999999</v>
      </c>
      <c r="T80" s="58">
        <v>0.14069999999999999</v>
      </c>
      <c r="U80" s="96">
        <v>0.5</v>
      </c>
      <c r="V80" s="58">
        <v>2.4E-2</v>
      </c>
      <c r="W80" s="58">
        <v>5.4100000000000002E-2</v>
      </c>
      <c r="X80" s="96">
        <v>0.5</v>
      </c>
      <c r="Y80" s="58">
        <v>0.1053</v>
      </c>
      <c r="Z80" s="58">
        <v>0.13200000000000001</v>
      </c>
      <c r="AA80" s="96">
        <v>0.5</v>
      </c>
      <c r="AB80" s="58">
        <v>1.6500000000000001E-2</v>
      </c>
      <c r="AC80" s="58">
        <v>3.3799999999999997E-2</v>
      </c>
      <c r="AD80" s="59">
        <v>2</v>
      </c>
      <c r="AE80" s="58">
        <v>0.67569999999999997</v>
      </c>
      <c r="AF80" s="58">
        <v>0.69979999999999998</v>
      </c>
      <c r="AG80" s="59">
        <v>3</v>
      </c>
      <c r="AH80" s="58">
        <v>1</v>
      </c>
      <c r="AI80" s="58">
        <v>1</v>
      </c>
      <c r="AJ80" s="59">
        <v>0</v>
      </c>
      <c r="AK80" s="58">
        <v>9.2700000000000005E-2</v>
      </c>
      <c r="AL80" s="58">
        <v>0.15809999999999999</v>
      </c>
      <c r="AM80" s="59">
        <v>1</v>
      </c>
      <c r="AN80" s="58">
        <v>0.151</v>
      </c>
      <c r="AO80" s="58">
        <v>0.28699999999999998</v>
      </c>
      <c r="AP80" s="101">
        <v>1</v>
      </c>
      <c r="AQ80" s="4">
        <v>40</v>
      </c>
      <c r="AR80" s="4"/>
    </row>
    <row r="81" spans="1:44" x14ac:dyDescent="0.25">
      <c r="A81" s="1" t="s">
        <v>92</v>
      </c>
      <c r="B81" s="2" t="s">
        <v>222</v>
      </c>
      <c r="C81" s="2" t="s">
        <v>278</v>
      </c>
      <c r="D81" s="2" t="s">
        <v>153</v>
      </c>
      <c r="E81" s="3">
        <v>29307</v>
      </c>
      <c r="F81" s="59">
        <v>2</v>
      </c>
      <c r="G81" s="59">
        <v>2</v>
      </c>
      <c r="H81" s="59">
        <v>2</v>
      </c>
      <c r="I81" s="59">
        <v>2</v>
      </c>
      <c r="J81" s="59">
        <v>1</v>
      </c>
      <c r="K81" s="59">
        <v>2</v>
      </c>
      <c r="L81" s="59">
        <v>2</v>
      </c>
      <c r="M81" s="59">
        <v>2</v>
      </c>
      <c r="N81" s="59">
        <v>2</v>
      </c>
      <c r="O81" s="121">
        <v>1</v>
      </c>
      <c r="P81" s="58">
        <v>0.47620000000000001</v>
      </c>
      <c r="Q81" s="58">
        <v>0.5091</v>
      </c>
      <c r="R81" s="96">
        <v>0</v>
      </c>
      <c r="S81" s="58">
        <v>0.17050000000000001</v>
      </c>
      <c r="T81" s="58">
        <v>0.12770000000000001</v>
      </c>
      <c r="U81" s="96">
        <v>0.5</v>
      </c>
      <c r="V81" s="58">
        <v>5.0799999999999998E-2</v>
      </c>
      <c r="W81" s="58">
        <v>6.0999999999999999E-2</v>
      </c>
      <c r="X81" s="96">
        <v>0.5</v>
      </c>
      <c r="Y81" s="58">
        <v>0.1236</v>
      </c>
      <c r="Z81" s="58">
        <v>0.1474</v>
      </c>
      <c r="AA81" s="96">
        <v>0</v>
      </c>
      <c r="AB81" s="58">
        <v>8.3299999999999999E-2</v>
      </c>
      <c r="AC81" s="58">
        <v>7.3200000000000001E-2</v>
      </c>
      <c r="AD81" s="59">
        <v>1</v>
      </c>
      <c r="AE81" s="58">
        <v>0.61660000000000004</v>
      </c>
      <c r="AF81" s="58">
        <v>0.62560000000000004</v>
      </c>
      <c r="AG81" s="59">
        <v>3</v>
      </c>
      <c r="AH81" s="58">
        <v>1</v>
      </c>
      <c r="AI81" s="58">
        <v>1</v>
      </c>
      <c r="AJ81" s="59">
        <v>0</v>
      </c>
      <c r="AK81" s="58">
        <v>0.11609999999999999</v>
      </c>
      <c r="AL81" s="58">
        <v>0.215</v>
      </c>
      <c r="AM81" s="59">
        <v>1</v>
      </c>
      <c r="AN81" s="58">
        <v>0.159</v>
      </c>
      <c r="AO81" s="58">
        <v>0.16700000000000001</v>
      </c>
      <c r="AP81" s="101">
        <v>1</v>
      </c>
      <c r="AQ81" s="4">
        <v>40</v>
      </c>
      <c r="AR81" s="4"/>
    </row>
    <row r="82" spans="1:44" x14ac:dyDescent="0.25">
      <c r="A82" s="1" t="s">
        <v>93</v>
      </c>
      <c r="B82" s="2" t="s">
        <v>223</v>
      </c>
      <c r="C82" s="2" t="s">
        <v>285</v>
      </c>
      <c r="D82" s="2" t="s">
        <v>153</v>
      </c>
      <c r="E82" s="3">
        <v>29150</v>
      </c>
      <c r="F82" s="59">
        <v>2</v>
      </c>
      <c r="G82" s="59">
        <v>2</v>
      </c>
      <c r="H82" s="59">
        <v>1</v>
      </c>
      <c r="I82" s="59">
        <v>2</v>
      </c>
      <c r="J82" s="59">
        <v>2</v>
      </c>
      <c r="K82" s="59">
        <v>2</v>
      </c>
      <c r="L82" s="59">
        <v>2</v>
      </c>
      <c r="M82" s="59">
        <v>2</v>
      </c>
      <c r="N82" s="59">
        <v>2</v>
      </c>
      <c r="O82" s="121">
        <v>0</v>
      </c>
      <c r="P82" s="58">
        <v>0.50680000000000003</v>
      </c>
      <c r="Q82" s="58">
        <v>0.42859999999999998</v>
      </c>
      <c r="R82" s="96">
        <v>0.5</v>
      </c>
      <c r="S82" s="58">
        <v>7.7399999999999997E-2</v>
      </c>
      <c r="T82" s="58">
        <v>0.1056</v>
      </c>
      <c r="U82" s="96">
        <v>0</v>
      </c>
      <c r="V82" s="58">
        <v>8.5999999999999993E-2</v>
      </c>
      <c r="W82" s="58">
        <v>7.9500000000000001E-2</v>
      </c>
      <c r="X82" s="96">
        <v>0.5</v>
      </c>
      <c r="Y82" s="58">
        <v>6.3299999999999995E-2</v>
      </c>
      <c r="Z82" s="58">
        <v>7.8200000000000006E-2</v>
      </c>
      <c r="AA82" s="96">
        <v>0</v>
      </c>
      <c r="AB82" s="58">
        <v>8.3299999999999999E-2</v>
      </c>
      <c r="AC82" s="58">
        <v>2.2200000000000001E-2</v>
      </c>
      <c r="AD82" s="59">
        <v>0</v>
      </c>
      <c r="AE82" s="58">
        <v>0.4798</v>
      </c>
      <c r="AF82" s="58">
        <v>0.45879999999999999</v>
      </c>
      <c r="AG82" s="59">
        <v>3</v>
      </c>
      <c r="AH82" s="58">
        <v>1</v>
      </c>
      <c r="AI82" s="58">
        <v>1</v>
      </c>
      <c r="AJ82" s="59">
        <v>0</v>
      </c>
      <c r="AK82" s="58">
        <v>3.8300000000000001E-2</v>
      </c>
      <c r="AL82" s="58">
        <v>0.21579999999999999</v>
      </c>
      <c r="AM82" s="59">
        <v>1</v>
      </c>
      <c r="AN82" s="58">
        <v>6.6000000000000003E-2</v>
      </c>
      <c r="AO82" s="58">
        <v>0.127</v>
      </c>
      <c r="AP82" s="101">
        <v>1</v>
      </c>
      <c r="AQ82" s="4">
        <v>40</v>
      </c>
      <c r="AR82" s="4"/>
    </row>
    <row r="83" spans="1:44" x14ac:dyDescent="0.25">
      <c r="A83" s="1" t="s">
        <v>94</v>
      </c>
      <c r="B83" s="2" t="s">
        <v>224</v>
      </c>
      <c r="C83" s="2" t="s">
        <v>286</v>
      </c>
      <c r="D83" s="2" t="s">
        <v>153</v>
      </c>
      <c r="E83" s="3">
        <v>29379</v>
      </c>
      <c r="F83" s="59">
        <v>2</v>
      </c>
      <c r="G83" s="59">
        <v>2</v>
      </c>
      <c r="H83" s="59">
        <v>2</v>
      </c>
      <c r="I83" s="59">
        <v>2</v>
      </c>
      <c r="J83" s="59">
        <v>1</v>
      </c>
      <c r="K83" s="59">
        <v>2</v>
      </c>
      <c r="L83" s="59">
        <v>2</v>
      </c>
      <c r="M83" s="59">
        <v>2</v>
      </c>
      <c r="N83" s="59">
        <v>2</v>
      </c>
      <c r="O83" s="121">
        <v>1</v>
      </c>
      <c r="P83" s="58">
        <v>0.29270000000000002</v>
      </c>
      <c r="Q83" s="58">
        <v>0.36670000000000003</v>
      </c>
      <c r="R83" s="96">
        <v>0.5</v>
      </c>
      <c r="S83" s="58">
        <v>7.0400000000000004E-2</v>
      </c>
      <c r="T83" s="58">
        <v>0.1772</v>
      </c>
      <c r="U83" s="96">
        <v>1</v>
      </c>
      <c r="V83" s="58">
        <v>7.0199999999999999E-2</v>
      </c>
      <c r="W83" s="58">
        <v>0.1091</v>
      </c>
      <c r="X83" s="96">
        <v>0.5</v>
      </c>
      <c r="Y83" s="58">
        <v>8.4500000000000006E-2</v>
      </c>
      <c r="Z83" s="58">
        <v>0.13919999999999999</v>
      </c>
      <c r="AA83" s="96">
        <v>1</v>
      </c>
      <c r="AB83" s="58">
        <v>5.2600000000000001E-2</v>
      </c>
      <c r="AC83" s="58">
        <v>9.0899999999999995E-2</v>
      </c>
      <c r="AD83" s="59">
        <v>3</v>
      </c>
      <c r="AE83" s="58">
        <v>0.78349999999999997</v>
      </c>
      <c r="AF83" s="58">
        <v>0.79720000000000002</v>
      </c>
      <c r="AG83" s="59">
        <v>3</v>
      </c>
      <c r="AH83" s="58">
        <v>1</v>
      </c>
      <c r="AI83" s="58">
        <v>1</v>
      </c>
      <c r="AJ83" s="59">
        <v>0</v>
      </c>
      <c r="AK83" s="58">
        <v>0.189</v>
      </c>
      <c r="AL83" s="58">
        <v>0.26069999999999999</v>
      </c>
      <c r="AM83" s="59">
        <v>1</v>
      </c>
      <c r="AN83" s="58">
        <v>0.17399999999999999</v>
      </c>
      <c r="AO83" s="58">
        <v>0.22500000000000001</v>
      </c>
      <c r="AP83" s="101">
        <v>1</v>
      </c>
      <c r="AQ83" s="4">
        <v>40</v>
      </c>
      <c r="AR83" s="4"/>
    </row>
    <row r="84" spans="1:44" x14ac:dyDescent="0.25">
      <c r="A84" s="1" t="s">
        <v>95</v>
      </c>
      <c r="B84" s="2" t="s">
        <v>225</v>
      </c>
      <c r="C84" s="2" t="s">
        <v>287</v>
      </c>
      <c r="D84" s="2" t="s">
        <v>153</v>
      </c>
      <c r="E84" s="3">
        <v>29556</v>
      </c>
      <c r="F84" s="59">
        <v>2</v>
      </c>
      <c r="G84" s="59">
        <v>2</v>
      </c>
      <c r="H84" s="59">
        <v>2</v>
      </c>
      <c r="I84" s="59">
        <v>2</v>
      </c>
      <c r="J84" s="59">
        <v>2</v>
      </c>
      <c r="K84" s="59">
        <v>2</v>
      </c>
      <c r="L84" s="59">
        <v>1</v>
      </c>
      <c r="M84" s="59">
        <v>2</v>
      </c>
      <c r="N84" s="59">
        <v>2</v>
      </c>
      <c r="O84" s="121">
        <v>3</v>
      </c>
      <c r="P84" s="58">
        <v>0</v>
      </c>
      <c r="Q84" s="58">
        <v>0.86670000000000003</v>
      </c>
      <c r="R84" s="96">
        <v>0.5</v>
      </c>
      <c r="S84" s="58">
        <v>9.6799999999999997E-2</v>
      </c>
      <c r="T84" s="58">
        <v>0.1176</v>
      </c>
      <c r="U84" s="96">
        <v>1.5</v>
      </c>
      <c r="V84" s="58">
        <v>3.5700000000000003E-2</v>
      </c>
      <c r="W84" s="58">
        <v>0.15690000000000001</v>
      </c>
      <c r="X84" s="96">
        <v>0.5</v>
      </c>
      <c r="Y84" s="58">
        <v>2.86E-2</v>
      </c>
      <c r="Z84" s="58">
        <v>8.8200000000000001E-2</v>
      </c>
      <c r="AA84" s="96">
        <v>0</v>
      </c>
      <c r="AB84" s="58">
        <v>6.4500000000000002E-2</v>
      </c>
      <c r="AC84" s="58">
        <v>5.8799999999999998E-2</v>
      </c>
      <c r="AD84" s="59">
        <v>0</v>
      </c>
      <c r="AE84" s="58">
        <v>0.60980000000000001</v>
      </c>
      <c r="AF84" s="58">
        <v>0.57679999999999998</v>
      </c>
      <c r="AG84" s="59">
        <v>3</v>
      </c>
      <c r="AH84" s="58">
        <v>1</v>
      </c>
      <c r="AI84" s="58">
        <v>1</v>
      </c>
      <c r="AJ84" s="59">
        <v>2</v>
      </c>
      <c r="AK84" s="58">
        <v>9.2299999999999993E-2</v>
      </c>
      <c r="AL84" s="58">
        <v>0.1205</v>
      </c>
      <c r="AM84" s="59">
        <v>1</v>
      </c>
      <c r="AN84" s="58">
        <v>5.7000000000000002E-2</v>
      </c>
      <c r="AO84" s="58">
        <v>0.125</v>
      </c>
      <c r="AP84" s="101">
        <v>1</v>
      </c>
      <c r="AQ84" s="4">
        <v>40</v>
      </c>
      <c r="AR84" s="4"/>
    </row>
    <row r="85" spans="1:44" x14ac:dyDescent="0.25">
      <c r="A85" s="1" t="s">
        <v>96</v>
      </c>
      <c r="B85" s="2" t="s">
        <v>226</v>
      </c>
      <c r="C85" s="2" t="s">
        <v>288</v>
      </c>
      <c r="D85" s="2" t="s">
        <v>153</v>
      </c>
      <c r="E85" s="3">
        <v>29745</v>
      </c>
      <c r="F85" s="59">
        <v>2</v>
      </c>
      <c r="G85" s="59">
        <v>2</v>
      </c>
      <c r="H85" s="59">
        <v>2</v>
      </c>
      <c r="I85" s="59">
        <v>2</v>
      </c>
      <c r="J85" s="59">
        <v>2</v>
      </c>
      <c r="K85" s="59">
        <v>2</v>
      </c>
      <c r="L85" s="59">
        <v>2</v>
      </c>
      <c r="M85" s="59">
        <v>2</v>
      </c>
      <c r="N85" s="59">
        <v>2</v>
      </c>
      <c r="O85" s="121">
        <v>0</v>
      </c>
      <c r="P85" s="58">
        <v>0.54169999999999996</v>
      </c>
      <c r="Q85" s="58">
        <v>0.52829999999999999</v>
      </c>
      <c r="R85" s="96">
        <v>0</v>
      </c>
      <c r="S85" s="58">
        <v>0.17</v>
      </c>
      <c r="T85" s="58">
        <v>6.8000000000000005E-2</v>
      </c>
      <c r="U85" s="96">
        <v>1</v>
      </c>
      <c r="V85" s="58">
        <v>5.8000000000000003E-2</v>
      </c>
      <c r="W85" s="58">
        <v>0.13830000000000001</v>
      </c>
      <c r="X85" s="96">
        <v>0</v>
      </c>
      <c r="Y85" s="58">
        <v>0.15840000000000001</v>
      </c>
      <c r="Z85" s="58">
        <v>0.10680000000000001</v>
      </c>
      <c r="AA85" s="96">
        <v>0.5</v>
      </c>
      <c r="AB85" s="58">
        <v>1.4500000000000001E-2</v>
      </c>
      <c r="AC85" s="58">
        <v>6.3200000000000006E-2</v>
      </c>
      <c r="AD85" s="59">
        <v>2</v>
      </c>
      <c r="AE85" s="58">
        <v>0.65290000000000004</v>
      </c>
      <c r="AF85" s="58">
        <v>0.64390000000000003</v>
      </c>
      <c r="AG85" s="59">
        <v>3</v>
      </c>
      <c r="AH85" s="58">
        <v>1</v>
      </c>
      <c r="AI85" s="58">
        <v>1</v>
      </c>
      <c r="AJ85" s="59">
        <v>0</v>
      </c>
      <c r="AK85" s="58">
        <v>6.1600000000000002E-2</v>
      </c>
      <c r="AL85" s="58">
        <v>0.16070000000000001</v>
      </c>
      <c r="AM85" s="59">
        <v>1</v>
      </c>
      <c r="AN85" s="58">
        <v>0.16400000000000001</v>
      </c>
      <c r="AO85" s="58">
        <v>0.25900000000000001</v>
      </c>
      <c r="AP85" s="101">
        <v>1</v>
      </c>
      <c r="AQ85" s="4">
        <v>40</v>
      </c>
      <c r="AR85" s="4"/>
    </row>
    <row r="86" spans="1:44" x14ac:dyDescent="0.25">
      <c r="A86" s="1" t="s">
        <v>97</v>
      </c>
      <c r="B86" s="2" t="s">
        <v>227</v>
      </c>
      <c r="C86" s="2" t="s">
        <v>289</v>
      </c>
      <c r="D86" s="2" t="s">
        <v>153</v>
      </c>
      <c r="E86" s="3">
        <v>29710</v>
      </c>
      <c r="F86" s="59">
        <v>2</v>
      </c>
      <c r="G86" s="59">
        <v>2</v>
      </c>
      <c r="H86" s="59">
        <v>2</v>
      </c>
      <c r="I86" s="59">
        <v>2</v>
      </c>
      <c r="J86" s="59">
        <v>1</v>
      </c>
      <c r="K86" s="59">
        <v>2</v>
      </c>
      <c r="L86" s="59">
        <v>2</v>
      </c>
      <c r="M86" s="59">
        <v>2</v>
      </c>
      <c r="N86" s="59">
        <v>2</v>
      </c>
      <c r="O86" s="121">
        <v>2</v>
      </c>
      <c r="P86" s="58">
        <v>0.60980000000000001</v>
      </c>
      <c r="Q86" s="58">
        <v>0.56100000000000005</v>
      </c>
      <c r="R86" s="96">
        <v>1.5</v>
      </c>
      <c r="S86" s="58">
        <v>0.2051</v>
      </c>
      <c r="T86" s="58">
        <v>0.25929999999999997</v>
      </c>
      <c r="U86" s="96">
        <v>0</v>
      </c>
      <c r="V86" s="58">
        <v>8.2000000000000003E-2</v>
      </c>
      <c r="W86" s="58">
        <v>1.47E-2</v>
      </c>
      <c r="X86" s="96">
        <v>1.5</v>
      </c>
      <c r="Y86" s="58">
        <v>0.1948</v>
      </c>
      <c r="Z86" s="58">
        <v>0.26169999999999999</v>
      </c>
      <c r="AA86" s="96">
        <v>1.5</v>
      </c>
      <c r="AB86" s="58">
        <v>9.8400000000000001E-2</v>
      </c>
      <c r="AC86" s="58">
        <v>0.1176</v>
      </c>
      <c r="AD86" s="59">
        <v>3</v>
      </c>
      <c r="AE86" s="58">
        <v>0.7177</v>
      </c>
      <c r="AF86" s="58">
        <v>0.74460000000000004</v>
      </c>
      <c r="AG86" s="59">
        <v>3</v>
      </c>
      <c r="AH86" s="58">
        <v>1</v>
      </c>
      <c r="AI86" s="58">
        <v>1</v>
      </c>
      <c r="AJ86" s="59">
        <v>3</v>
      </c>
      <c r="AK86" s="58">
        <v>2.0299999999999999E-2</v>
      </c>
      <c r="AL86" s="58">
        <v>7.6200000000000004E-2</v>
      </c>
      <c r="AM86" s="59">
        <v>3</v>
      </c>
      <c r="AN86" s="58">
        <v>0.36399999999999999</v>
      </c>
      <c r="AO86" s="58">
        <v>0.435</v>
      </c>
      <c r="AP86" s="101">
        <v>1</v>
      </c>
      <c r="AQ86" s="4">
        <v>40</v>
      </c>
      <c r="AR86" s="4"/>
    </row>
    <row r="87" spans="1:44" x14ac:dyDescent="0.25">
      <c r="A87" s="1" t="s">
        <v>98</v>
      </c>
      <c r="B87" s="2" t="s">
        <v>228</v>
      </c>
      <c r="C87" s="2" t="s">
        <v>290</v>
      </c>
      <c r="D87" s="2" t="s">
        <v>153</v>
      </c>
      <c r="E87" s="1">
        <v>29731</v>
      </c>
      <c r="F87" s="59">
        <v>2</v>
      </c>
      <c r="G87" s="59">
        <v>2</v>
      </c>
      <c r="H87" s="59">
        <v>2</v>
      </c>
      <c r="I87" s="59">
        <v>2</v>
      </c>
      <c r="J87" s="59">
        <v>1</v>
      </c>
      <c r="K87" s="59">
        <v>2</v>
      </c>
      <c r="L87" s="59">
        <v>2</v>
      </c>
      <c r="M87" s="59">
        <v>2</v>
      </c>
      <c r="N87" s="59">
        <v>2</v>
      </c>
      <c r="O87" s="121">
        <v>1</v>
      </c>
      <c r="P87" s="58">
        <v>0.49440000000000001</v>
      </c>
      <c r="Q87" s="58">
        <v>0.53649999999999998</v>
      </c>
      <c r="R87" s="96">
        <v>1</v>
      </c>
      <c r="S87" s="58">
        <v>0.16880000000000001</v>
      </c>
      <c r="T87" s="58">
        <v>0.2298</v>
      </c>
      <c r="U87" s="96">
        <v>0.5</v>
      </c>
      <c r="V87" s="58">
        <v>5.6300000000000003E-2</v>
      </c>
      <c r="W87" s="58">
        <v>8.3699999999999997E-2</v>
      </c>
      <c r="X87" s="96">
        <v>0.5</v>
      </c>
      <c r="Y87" s="58">
        <v>0.1452</v>
      </c>
      <c r="Z87" s="58">
        <v>0.19739999999999999</v>
      </c>
      <c r="AA87" s="96">
        <v>0</v>
      </c>
      <c r="AB87" s="58">
        <v>8.3299999999999999E-2</v>
      </c>
      <c r="AC87" s="58">
        <v>3.4799999999999998E-2</v>
      </c>
      <c r="AD87" s="59">
        <v>2</v>
      </c>
      <c r="AE87" s="58">
        <v>0.65529999999999999</v>
      </c>
      <c r="AF87" s="58">
        <v>0.65459999999999996</v>
      </c>
      <c r="AG87" s="59">
        <v>3</v>
      </c>
      <c r="AH87" s="58">
        <v>1</v>
      </c>
      <c r="AI87" s="58">
        <v>1</v>
      </c>
      <c r="AJ87" s="59">
        <v>0</v>
      </c>
      <c r="AK87" s="58">
        <v>6.3799999999999996E-2</v>
      </c>
      <c r="AL87" s="58">
        <v>0.16930000000000001</v>
      </c>
      <c r="AM87" s="59">
        <v>1</v>
      </c>
      <c r="AN87" s="58">
        <v>0.13500000000000001</v>
      </c>
      <c r="AO87" s="58">
        <v>0.247</v>
      </c>
      <c r="AP87" s="101">
        <v>1</v>
      </c>
      <c r="AQ87" s="4">
        <v>40</v>
      </c>
      <c r="AR87" s="4"/>
    </row>
    <row r="88" spans="1:44" x14ac:dyDescent="0.25">
      <c r="A88" s="1" t="s">
        <v>99</v>
      </c>
      <c r="B88" s="2" t="s">
        <v>229</v>
      </c>
      <c r="C88" s="2" t="s">
        <v>291</v>
      </c>
      <c r="D88" s="2" t="s">
        <v>153</v>
      </c>
      <c r="E88" s="1">
        <v>29715</v>
      </c>
      <c r="F88" s="59">
        <v>2</v>
      </c>
      <c r="G88" s="59">
        <v>2</v>
      </c>
      <c r="H88" s="59">
        <v>2</v>
      </c>
      <c r="I88" s="59">
        <v>2</v>
      </c>
      <c r="J88" s="59">
        <v>1</v>
      </c>
      <c r="K88" s="59">
        <v>2</v>
      </c>
      <c r="L88" s="59">
        <v>2</v>
      </c>
      <c r="M88" s="59">
        <v>2</v>
      </c>
      <c r="N88" s="59">
        <v>2</v>
      </c>
      <c r="O88" s="121">
        <v>3</v>
      </c>
      <c r="P88" s="58">
        <v>0.4</v>
      </c>
      <c r="Q88" s="58">
        <v>0.92810000000000004</v>
      </c>
      <c r="R88" s="96">
        <v>1.5</v>
      </c>
      <c r="S88" s="60">
        <v>0.28029999999999999</v>
      </c>
      <c r="T88" s="58">
        <v>0.27650000000000002</v>
      </c>
      <c r="U88" s="96">
        <v>1.5</v>
      </c>
      <c r="V88" s="58">
        <v>0.16259999999999999</v>
      </c>
      <c r="W88" s="58">
        <v>0.16789999999999999</v>
      </c>
      <c r="X88" s="96">
        <v>1</v>
      </c>
      <c r="Y88" s="58">
        <v>0.26750000000000002</v>
      </c>
      <c r="Z88" s="58">
        <v>0.21759999999999999</v>
      </c>
      <c r="AA88" s="96">
        <v>1.5</v>
      </c>
      <c r="AB88" s="58">
        <v>0.11899999999999999</v>
      </c>
      <c r="AC88" s="58">
        <v>0.16789999999999999</v>
      </c>
      <c r="AD88" s="59">
        <v>3</v>
      </c>
      <c r="AE88" s="58">
        <v>0.70540000000000003</v>
      </c>
      <c r="AF88" s="58">
        <v>0.72419999999999995</v>
      </c>
      <c r="AG88" s="59">
        <v>3</v>
      </c>
      <c r="AH88" s="58">
        <v>1</v>
      </c>
      <c r="AI88" s="58">
        <v>1</v>
      </c>
      <c r="AJ88" s="59">
        <v>3</v>
      </c>
      <c r="AK88" s="58">
        <v>3.0499999999999999E-2</v>
      </c>
      <c r="AL88" s="58">
        <v>8.5199999999999998E-2</v>
      </c>
      <c r="AM88" s="59">
        <v>2</v>
      </c>
      <c r="AN88" s="58">
        <v>0.39800000000000002</v>
      </c>
      <c r="AO88" s="58">
        <v>0.34899999999999998</v>
      </c>
      <c r="AP88" s="101">
        <v>1</v>
      </c>
      <c r="AQ88" s="4">
        <v>40</v>
      </c>
      <c r="AR88" s="4"/>
    </row>
  </sheetData>
  <sheetProtection algorithmName="SHA-512" hashValue="8TTDr0AoatvOeUTeU+rTjTtGS5/z3HGUSplBWfZFWRCqJpmR8NWVd8nAl9X1SSCxBL9FnYP2PCGQ/cyx+GmboA==" saltValue="6HjnddQwaEzF6PGUWk4nIw==" spinCount="100000" sheet="1" objects="1" scenarios="1"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Information</vt:lpstr>
      <vt:lpstr>Profile</vt:lpstr>
      <vt:lpstr>Old Determination</vt:lpstr>
      <vt:lpstr>Old Data</vt:lpstr>
      <vt:lpstr>Proposed Information</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2023-08-03T17:11:14Z</cp:lastPrinted>
  <dcterms:created xsi:type="dcterms:W3CDTF">2021-05-24T16:58:47Z</dcterms:created>
  <dcterms:modified xsi:type="dcterms:W3CDTF">2023-09-06T13:28:59Z</dcterms:modified>
</cp:coreProperties>
</file>