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27AECDDD-7D7E-4AAB-AA3B-CFF792E6E44E}" xr6:coauthVersionLast="47" xr6:coauthVersionMax="47" xr10:uidLastSave="{00000000-0000-0000-0000-000000000000}"/>
  <workbookProtection workbookAlgorithmName="SHA-512" workbookHashValue="nvlQ3kXxP7tSDoMJbIt7wdC/+fXWZGjly09V82YesQo6sUoUliEc558Njahq0RRMANq4JkSmf8YBWx5p6Ndnug==" workbookSaltValue="PgJ7Mnc5rtprcYtG2xKKOQ=="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<sst xmlns="http://schemas.openxmlformats.org/spreadsheetml/2006/main" count="2581" uniqueCount="605">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</sst>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0.69230769230769196</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0.25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0.83333333333333304</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0.14285714285714299</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0.6</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3.3333333333333298E-2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0.108333333333333</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3.2258064516128997E-2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0.12903225806451599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1.72E-2</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c:v>
                </c:pt>
                <c:pt idx="3">
                  <c:v>1</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5.04E-2</c:v>
                </c:pt>
                <c:pt idx="3">
                  <c:v>1.72E-2</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c:v>
                </c:pt>
                <c:pt idx="3">
                  <c:v>0</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1.4999999999999999E-2</c:v>
                </c:pt>
                <c:pt idx="3">
                  <c:v>0</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456</v>
      </c>
      <c r="B3" s="36"/>
      <c r="C3" s="36"/>
      <c r="D3" s="36"/>
      <c r="E3" s="36"/>
      <c r="F3" s="36"/>
      <c r="G3" s="36"/>
      <c r="H3" s="36"/>
      <c r="I3" s="36"/>
      <c r="J3" s="36"/>
      <c r="K3" s="36"/>
      <c r="L3" s="36"/>
      <c r="M3" s="36"/>
      <c r="N3" s="36"/>
      <c r="O3" s="10"/>
    </row>
    <row r="4" spans="1:20" s="9" customFormat="1" ht="11.25" x14ac:dyDescent="0.2">
      <c r="A4" s="9" t="str">
        <f>+VLOOKUP(A3,'Old Data'!A1:CM88,2,FALSE)</f>
        <v>405 N. Wise Rd.</v>
      </c>
      <c r="C4" s="12"/>
      <c r="E4" s="12"/>
      <c r="F4" s="12"/>
    </row>
    <row r="5" spans="1:20" s="9" customFormat="1" ht="11.25" x14ac:dyDescent="0.2">
      <c r="A5" s="9" t="str">
        <f>+VLOOKUP(A3,'Old Data'!A1:CM88,3,FALSE)</f>
        <v>Saluda</v>
      </c>
      <c r="C5" s="12"/>
      <c r="E5" s="12"/>
      <c r="F5" s="12"/>
      <c r="G5" s="12" t="str">
        <f>+VLOOKUP(A3,'Old Data'!A1:CM88,4,FALSE)</f>
        <v>SC</v>
      </c>
      <c r="H5" s="12"/>
      <c r="I5" s="12">
        <f>+VLOOKUP(A3,'Old Data'!A1:CM88,5,FALSE)</f>
        <v>29139</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t="str">
        <f>VLOOKUP(A3,'Old Data'!A1:CM88,35,FALSE)</f>
        <v>NA</v>
      </c>
      <c r="H11" s="66" t="s">
        <v>1</v>
      </c>
      <c r="I11" s="11" t="str">
        <f t="shared" ref="I11" si="0">IF(OR(G11="NA",G11="**"),"NA",IF(G11&lt;C11,"Not Met","Met"))</f>
        <v>NA</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t="str">
        <f>VLOOKUP(A3,'Old Data'!A1:CM88,36,FALSE)</f>
        <v>NA</v>
      </c>
      <c r="H15" s="66" t="s">
        <v>1</v>
      </c>
      <c r="I15" s="11" t="str">
        <f>IF(OR(G15="NA",G15="**"),"NA",IF(G15&gt;C15,"Not Met","Met"))</f>
        <v>NA</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t="str">
        <f>VLOOKUP(A3,'Old Data'!A1:CM88,37,FALSE)</f>
        <v>NA</v>
      </c>
      <c r="H19" s="66" t="s">
        <v>1</v>
      </c>
      <c r="I19" s="11" t="str">
        <f>IF(OR(G19="NA",G19="**"),"NA",IF(G19&lt;C19,"Not Met","Met"))</f>
        <v>NA</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0.69230769230769196</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0.25</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t="str">
        <f>VLOOKUP(A3,'Old Data'!A1:CM88,40,FALSE)</f>
        <v>NA</v>
      </c>
      <c r="H28" s="66" t="s">
        <v>1</v>
      </c>
      <c r="I28" s="11" t="str">
        <f>IF(OR(G28="NA",G28="**"),"NA",IF(G28&lt;C28,"Not Met","Met"))</f>
        <v>NA</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0.83333333333333304</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0.14285714285714299</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t="str">
        <f>VLOOKUP(A3,'Old Data'!A1:CM88,43,FALSE)</f>
        <v>NA</v>
      </c>
      <c r="H37" s="66" t="s">
        <v>1</v>
      </c>
      <c r="I37" s="11" t="str">
        <f>IF(OR(G37="NA",G37="**"),"NA",IF(G37&lt;C37,"Not Met","Met"))</f>
        <v>NA</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0.6</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t="str">
        <f>VLOOKUP(A3,'Old Data'!A1:CM88,46,FALSE)</f>
        <v>NA</v>
      </c>
      <c r="H46" s="66" t="s">
        <v>1</v>
      </c>
      <c r="I46" s="11" t="str">
        <f>IF(OR(G46="NA",G46="**"),"NA",IF(G46&lt;C46,"Not Met","Met"))</f>
        <v>NA</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t="str">
        <f>VLOOKUP(A3,'Old Data'!A1:CM88,50,FALSE)</f>
        <v>NA</v>
      </c>
      <c r="H58" s="66" t="s">
        <v>1</v>
      </c>
      <c r="I58" s="11" t="str">
        <f>IF(OR(G58="NA",G58="**"),"NA",IF(G58&lt;C58,"Not Met","Met"))</f>
        <v>NA</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t="str">
        <f>VLOOKUP(A3,'Old Data'!A1:CM88,53,FALSE)</f>
        <v>NA</v>
      </c>
      <c r="H67" s="66" t="s">
        <v>1</v>
      </c>
      <c r="I67" s="11" t="str">
        <f>IF(OR(G67="NA",G67="**"),"NA",IF(G67&lt;C67,"Not Met","Met"))</f>
        <v>NA</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t="str">
        <f>VLOOKUP(A3,'Old Data'!A1:CM88,55,FALSE)</f>
        <v>NA</v>
      </c>
      <c r="H73" s="66" t="s">
        <v>1</v>
      </c>
      <c r="I73" s="11" t="str">
        <f>IF(OR(G73="NA",G73="**"),"NA",IF(G73&gt;C73,"Not Met","Met"))</f>
        <v>NA</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3.3333333333333298E-2</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0.108333333333333</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t="str">
        <f>VLOOKUP(A3,'Old Data'!A1:CM88,58,FALSE)</f>
        <v>NA</v>
      </c>
      <c r="H82" s="66" t="s">
        <v>1</v>
      </c>
      <c r="I82" s="11" t="str">
        <f>IF(OR(G82="NA",G82="**"),"NA",IF(G82&gt;C82,"Not Met","Met"))</f>
        <v>NA</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3.2258064516128997E-2</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0.12903225806451599</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1.72E-2</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0</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t="str">
        <f>VLOOKUP(A3,'Old Data'!A1:CM88,69,FALSE)</f>
        <v>NA</v>
      </c>
      <c r="H118" s="66" t="s">
        <v>1</v>
      </c>
      <c r="I118" s="11" t="str">
        <f>IF(OR(G118="NA",G118="**"),"NA",IF(G118&gt;C118,"Not Met","Met"))</f>
        <v>NA</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t="str">
        <f>VLOOKUP(A3,'Old Data'!A1:CM88,75,FALSE)</f>
        <v>NA</v>
      </c>
      <c r="H138" s="66" t="s">
        <v>1</v>
      </c>
      <c r="I138" s="11" t="str">
        <f t="shared" si="3"/>
        <v>NA</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t="str">
        <f>VLOOKUP(A3,'Old Data'!A1:CM88,76,FALSE)</f>
        <v>NA</v>
      </c>
      <c r="H142" s="66" t="s">
        <v>1</v>
      </c>
      <c r="I142" s="11" t="str">
        <f t="shared" si="3"/>
        <v>NA</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t="str">
        <f>VLOOKUP(A3,'Old Data'!A1:CM88,77,FALSE)</f>
        <v>NA</v>
      </c>
      <c r="H146" s="66" t="s">
        <v>1</v>
      </c>
      <c r="I146" s="11" t="str">
        <f t="shared" si="3"/>
        <v>NA</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t="str">
        <f>VLOOKUP(A3,'Old Data'!A1:CM88,78,FALSE)</f>
        <v>NA</v>
      </c>
      <c r="H150" s="66" t="s">
        <v>1</v>
      </c>
      <c r="I150" s="11" t="str">
        <f t="shared" si="3"/>
        <v>NA</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t="str">
        <f>VLOOKUP(A3,'Old Data'!A1:CM88,79,FALSE)</f>
        <v>NA</v>
      </c>
      <c r="H154" s="66" t="s">
        <v>1</v>
      </c>
      <c r="I154" s="11" t="str">
        <f t="shared" si="3"/>
        <v>NA</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t="str">
        <f>VLOOKUP(A3,'Old Data'!A1:CM88,80,FALSE)</f>
        <v>NA</v>
      </c>
      <c r="H158" s="66" t="s">
        <v>1</v>
      </c>
      <c r="I158" s="11" t="str">
        <f t="shared" si="3"/>
        <v>NA</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t="str">
        <f>VLOOKUP(A3,'Old Data'!A1:CM88,81,FALSE)</f>
        <v>NA</v>
      </c>
      <c r="H162" s="66" t="s">
        <v>1</v>
      </c>
      <c r="I162" s="11" t="str">
        <f t="shared" ref="I162" si="4">IF(OR(G162="NA",G162="**"),"NA",IF(G162&lt;C162,"Not Met","Met"))</f>
        <v>NA</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t="str">
        <f>VLOOKUP(A3,'Old Data'!A1:CM88,85,FALSE)</f>
        <v>NA</v>
      </c>
      <c r="H180" s="66" t="s">
        <v>1</v>
      </c>
      <c r="I180" s="11" t="str">
        <f t="shared" si="3"/>
        <v>NA</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t="str">
        <f>VLOOKUP(A3,'Old Data'!A1:CM88,87,FALSE)</f>
        <v>NA</v>
      </c>
      <c r="H189" s="66" t="s">
        <v>1</v>
      </c>
      <c r="I189" s="11" t="str">
        <f t="shared" ref="I189" si="6">IF(OR(G189="NA",G189="**"),"NA",IF(G189&lt;C189,"Not Met","Met"))</f>
        <v>NA</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t="str">
        <f>VLOOKUP(A3,'Old Data'!A1:CM88,88,FALSE)</f>
        <v>NA</v>
      </c>
      <c r="H193" s="66" t="s">
        <v>1</v>
      </c>
      <c r="I193" s="11" t="str">
        <f>IF(OR(G193="NA",G193="**"),"NA",IF(G193&lt;C193,"Not Met","Met"))</f>
        <v>NA</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t="str">
        <f>VLOOKUP(A3,'Old Data'!A1:CM88,89,FALSE)</f>
        <v>NA</v>
      </c>
      <c r="H197" s="66" t="s">
        <v>1</v>
      </c>
      <c r="I197" s="11" t="str">
        <f t="shared" ref="I197" si="7">IF(OR(G197="NA",G197="**"),"NA",IF(G197&lt;C197,"Not Met","Met"))</f>
        <v>NA</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2fq7kjYd4KwJrAXS5Tiem0PzK9iK3fWJYzY++FGRHBjfxsR4MTGxmgepL8/3bOBJ0P8czjkUpfZ85mUepwj2ig==" saltValue="202XillOYf18nlDlYhn3p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456</v>
      </c>
      <c r="B3" s="36"/>
      <c r="C3" s="36"/>
      <c r="D3" s="36"/>
      <c r="E3" s="36"/>
      <c r="F3" s="36"/>
      <c r="G3" s="36"/>
      <c r="H3" s="10"/>
      <c r="I3" s="10"/>
      <c r="J3" s="10"/>
    </row>
    <row r="4" spans="1:10" x14ac:dyDescent="0.2">
      <c r="A4" s="9" t="str">
        <f>VLOOKUP(A3,Data!A1:AQ88,2,FALSE)</f>
        <v>405 N. Wise Rd.</v>
      </c>
    </row>
    <row r="5" spans="1:10" x14ac:dyDescent="0.2">
      <c r="A5" s="9" t="str">
        <f>VLOOKUP(A3,Data!A1:AQ88,3,FALSE)</f>
        <v>Saluda</v>
      </c>
      <c r="C5" s="12" t="str">
        <f>VLOOKUP(A3,Data!A1:AQ88,4,FALSE)</f>
        <v>SC</v>
      </c>
      <c r="D5" s="12">
        <f>VLOOKUP(A3,Data!A1:AQ88,5,FALSE)</f>
        <v>29139</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t="str">
        <f>VLOOKUP(A3,Data!A1:AQ88,11,FALSE)</f>
        <v>NA</v>
      </c>
      <c r="C20" s="92" t="str">
        <f>IF(B20=0,"2 or more consecutive years of findings of non-compliance (current year and previous year(s))",
IF(B20=1,"Findings of non-compliance in the current year",
IF(B20=2,"No findings of non-compliance","")))</f>
        <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15</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3</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current state target</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t="str">
        <f>VLOOKUP(A3,Data!A1:AQ88,16,FALSE)</f>
        <v>NA</v>
      </c>
      <c r="E34" s="23"/>
      <c r="F34" s="23"/>
      <c r="G34" s="23"/>
      <c r="H34" s="23"/>
      <c r="I34" s="23"/>
      <c r="J34" s="23"/>
    </row>
    <row r="35" spans="1:10" ht="11.25" customHeight="1" x14ac:dyDescent="0.2">
      <c r="A35" s="19"/>
      <c r="B35" s="43" t="s">
        <v>466</v>
      </c>
      <c r="C35" s="56">
        <f>VLOOKUP(A3,Data!A1:AQ88,17,FALSE)</f>
        <v>1</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t="str">
        <f>VLOOKUP(A3,Data!A1:AQ88,18,FALSE)</f>
        <v>NA</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t="str">
        <f>VLOOKUP(A3,Data!A1:AQ88,19,FALSE)</f>
        <v>NA</v>
      </c>
      <c r="E42" s="23"/>
      <c r="F42" s="23"/>
      <c r="G42" s="23"/>
      <c r="H42" s="23"/>
      <c r="I42" s="23"/>
      <c r="J42" s="23"/>
    </row>
    <row r="43" spans="1:10" ht="11.25" customHeight="1" x14ac:dyDescent="0.2">
      <c r="A43" s="19"/>
      <c r="B43" s="43" t="s">
        <v>466</v>
      </c>
      <c r="C43" s="56" t="str">
        <f>VLOOKUP(A3,Data!A1:AQ88,20,FALSE)</f>
        <v>NA</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v>
      </c>
      <c r="E50" s="23"/>
      <c r="F50" s="23"/>
      <c r="G50" s="23"/>
      <c r="H50" s="23"/>
      <c r="I50" s="23"/>
      <c r="J50" s="23"/>
    </row>
    <row r="51" spans="1:10" ht="11.25" customHeight="1" x14ac:dyDescent="0.2">
      <c r="A51" s="19"/>
      <c r="B51" s="43" t="s">
        <v>466</v>
      </c>
      <c r="C51" s="56">
        <f>VLOOKUP(A3,Data!A1:AQ88,23,FALSE)</f>
        <v>0</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t="str">
        <f>VLOOKUP(A3,Data!A1:AQ88,24,FALSE)</f>
        <v>NA</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t="str">
        <f>VLOOKUP(A3,Data!A1:AQ88,25,FALSE)</f>
        <v>NA</v>
      </c>
      <c r="E58" s="23"/>
      <c r="F58" s="23"/>
      <c r="G58" s="23"/>
      <c r="H58" s="23"/>
      <c r="I58" s="23"/>
      <c r="J58" s="23"/>
    </row>
    <row r="59" spans="1:10" ht="11.25" customHeight="1" x14ac:dyDescent="0.2">
      <c r="A59" s="19"/>
      <c r="B59" s="43" t="s">
        <v>466</v>
      </c>
      <c r="C59" s="56" t="str">
        <f>VLOOKUP(A3,Data!A1:AQ88,26,FALSE)</f>
        <v>NA</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v>
      </c>
      <c r="E66" s="23"/>
      <c r="F66" s="23"/>
      <c r="G66" s="23"/>
      <c r="H66" s="23"/>
      <c r="I66" s="23"/>
      <c r="J66" s="23"/>
    </row>
    <row r="67" spans="1:10" ht="11.25" customHeight="1" x14ac:dyDescent="0.2">
      <c r="A67" s="19"/>
      <c r="B67" s="43" t="s">
        <v>466</v>
      </c>
      <c r="C67" s="56">
        <f>VLOOKUP(A3,Data!A1:AQ88,29,FALSE)</f>
        <v>0</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5.04E-2</v>
      </c>
      <c r="E74" s="23"/>
      <c r="F74" s="23"/>
      <c r="G74" s="23"/>
      <c r="H74" s="23"/>
      <c r="I74" s="23"/>
      <c r="J74" s="23"/>
    </row>
    <row r="75" spans="1:10" ht="11.25" customHeight="1" x14ac:dyDescent="0.2">
      <c r="A75" s="19"/>
      <c r="B75" s="43" t="s">
        <v>466</v>
      </c>
      <c r="C75" s="56">
        <f>VLOOKUP(A3,Data!A1:AQ88,32,FALSE)</f>
        <v>1.72E-2</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t="str">
        <f>VLOOKUP(A3,Data!A1:AQ88,33,FALSE)</f>
        <v>NA</v>
      </c>
      <c r="C78" s="92" t="str">
        <f>IF(B78=0,"Does not meet prior year’s state performance and did not improve",
IF(B78=1,"Does not meet prior year’s state performance but improved since last year",
IF(B78=2,"Meets or exceeds prior year’s state performance",
IF(B78=3,"Meets or exceeds current state target",""))))</f>
        <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3</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current state target</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v>
      </c>
      <c r="E90" s="23"/>
      <c r="F90" s="23"/>
      <c r="G90" s="23"/>
      <c r="H90" s="23"/>
      <c r="I90" s="23"/>
      <c r="J90" s="23"/>
    </row>
    <row r="91" spans="1:10" ht="11.25" customHeight="1" x14ac:dyDescent="0.2">
      <c r="A91" s="19"/>
      <c r="B91" s="43" t="s">
        <v>466</v>
      </c>
      <c r="C91" s="56">
        <f>VLOOKUP(A3,Data!A1:AQ88,38,FALSE)</f>
        <v>0</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0</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and did not improve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1.4999999999999999E-2</v>
      </c>
      <c r="E98" s="23"/>
      <c r="F98" s="23"/>
      <c r="G98" s="23"/>
      <c r="H98" s="23"/>
      <c r="I98" s="23"/>
      <c r="J98" s="23"/>
    </row>
    <row r="99" spans="1:10" ht="11.25" customHeight="1" x14ac:dyDescent="0.2">
      <c r="A99" s="19"/>
      <c r="B99" s="43" t="s">
        <v>466</v>
      </c>
      <c r="C99" s="56" t="str">
        <f>VLOOKUP(A3,Data!A1:AQ88,41,FALSE)</f>
        <v>NA</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6</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15</v>
      </c>
      <c r="B104" s="99">
        <f>B101</f>
        <v>6</v>
      </c>
      <c r="C104" s="63">
        <f>VLOOKUP(A3,Data!A1:AQ88,42,FALSE)</f>
        <v>1</v>
      </c>
      <c r="D104" s="99">
        <f>SUM(A104:C104)</f>
        <v>22</v>
      </c>
      <c r="E104" s="63">
        <f>VLOOKUP(A3,Data!A1:AQ88,43,FALSE)</f>
        <v>34</v>
      </c>
      <c r="F104" s="33">
        <f>D104/E104</f>
        <v>0.6470588235294118</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W41BMskUz2+kkjvVBoLvPcSrvF1YBYd6tDR8PmT8fx2w675GQnEb6VZ94hpYjXb0U3EEC8av7Wc3LgIKCjpmbA==" saltValue="CmR6uT3t/7wk3ja1TPJwS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2023-09-06T13:29:00Z</dcterms:modified>
</cp:coreProperties>
</file>