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86BDF453-10F9-4377-AA3F-80F7DA854528}" xr6:coauthVersionLast="47" xr6:coauthVersionMax="47" xr10:uidLastSave="{00000000-0000-0000-0000-000000000000}"/>
  <workbookProtection workbookAlgorithmName="SHA-512" workbookHashValue="XR9mubcX0C/o1tGxkaOTc4CxN60sADiK6ByKi0lzj1Jf9uwgQnY9Evr6FjZTkW5rNoaYzWuorxU6wULMVjWy1A==" workbookSaltValue="AVyvVX1jgxV4sjI0li0uww=="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<sst xmlns="http://schemas.openxmlformats.org/spreadsheetml/2006/main" count="2581" uniqueCount="605">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</sst>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0</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1</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1</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0</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0</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c:v>
                </c:pt>
                <c:pt idx="3">
                  <c:v>0</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c:v>
                </c:pt>
                <c:pt idx="3">
                  <c:v>0</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c:v>
                </c:pt>
                <c:pt idx="3">
                  <c:v>1</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c:v>
                </c:pt>
                <c:pt idx="3">
                  <c:v>0</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c:v>
                </c:pt>
                <c:pt idx="3">
                  <c:v>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NA</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460</v>
      </c>
      <c r="B3" s="36"/>
      <c r="C3" s="36"/>
      <c r="D3" s="36"/>
      <c r="E3" s="36"/>
      <c r="F3" s="36"/>
      <c r="G3" s="36"/>
      <c r="H3" s="36"/>
      <c r="I3" s="36"/>
      <c r="J3" s="36"/>
      <c r="K3" s="36"/>
      <c r="L3" s="36"/>
      <c r="M3" s="36"/>
      <c r="N3" s="36"/>
      <c r="O3" s="10"/>
    </row>
    <row r="4" spans="1:20" s="9" customFormat="1" ht="11.25" x14ac:dyDescent="0.2">
      <c r="A4" s="9" t="str">
        <f>+VLOOKUP(A3,'Old Data'!A1:CM88,2,FALSE)</f>
        <v>192 Gettys Rd</v>
      </c>
      <c r="C4" s="12"/>
      <c r="E4" s="12"/>
      <c r="F4" s="12"/>
    </row>
    <row r="5" spans="1:20" s="9" customFormat="1" ht="11.25" x14ac:dyDescent="0.2">
      <c r="A5" s="9" t="str">
        <f>+VLOOKUP(A3,'Old Data'!A1:CM88,3,FALSE)</f>
        <v>McCormick</v>
      </c>
      <c r="C5" s="12"/>
      <c r="E5" s="12"/>
      <c r="F5" s="12"/>
      <c r="G5" s="12" t="str">
        <f>+VLOOKUP(A3,'Old Data'!A1:CM88,4,FALSE)</f>
        <v>SC</v>
      </c>
      <c r="H5" s="12"/>
      <c r="I5" s="12">
        <f>+VLOOKUP(A3,'Old Data'!A1:CM88,5,FALSE)</f>
        <v>29835</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t="str">
        <f>VLOOKUP(A3,'Old Data'!A1:CM88,35,FALSE)</f>
        <v>NA</v>
      </c>
      <c r="H11" s="66" t="s">
        <v>1</v>
      </c>
      <c r="I11" s="11" t="str">
        <f t="shared" ref="I11" si="0">IF(OR(G11="NA",G11="**"),"NA",IF(G11&lt;C11,"Not Met","Met"))</f>
        <v>NA</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t="str">
        <f>VLOOKUP(A3,'Old Data'!A1:CM88,36,FALSE)</f>
        <v>NA</v>
      </c>
      <c r="H15" s="66" t="s">
        <v>1</v>
      </c>
      <c r="I15" s="11" t="str">
        <f>IF(OR(G15="NA",G15="**"),"NA",IF(G15&gt;C15,"Not Met","Met"))</f>
        <v>NA</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t="str">
        <f>VLOOKUP(A3,'Old Data'!A1:CM88,37,FALSE)</f>
        <v>NA</v>
      </c>
      <c r="H19" s="66" t="s">
        <v>1</v>
      </c>
      <c r="I19" s="11" t="str">
        <f>IF(OR(G19="NA",G19="**"),"NA",IF(G19&lt;C19,"Not Met","Met"))</f>
        <v>NA</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t="str">
        <f>VLOOKUP(A3,'Old Data'!A1:CM88,38,FALSE)</f>
        <v>NA</v>
      </c>
      <c r="H22" s="66" t="s">
        <v>1</v>
      </c>
      <c r="I22" s="11" t="str">
        <f>IF(OR(G22="NA",G22="**"),"NA",IF(G22&lt;C22,"Not Met","Met"))</f>
        <v>NA</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t="str">
        <f>VLOOKUP(A3,'Old Data'!A1:CM88,40,FALSE)</f>
        <v>NA</v>
      </c>
      <c r="H28" s="66" t="s">
        <v>1</v>
      </c>
      <c r="I28" s="11" t="str">
        <f>IF(OR(G28="NA",G28="**"),"NA",IF(G28&lt;C28,"Not Met","Met"))</f>
        <v>NA</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t="str">
        <f>VLOOKUP(A3,'Old Data'!A1:CM88,41,FALSE)</f>
        <v>NA</v>
      </c>
      <c r="H31" s="66" t="s">
        <v>1</v>
      </c>
      <c r="I31" s="11" t="str">
        <f>IF(OR(G31="NA",G31="**"),"NA",IF(G31&lt;C31,"Not Met","Met"))</f>
        <v>NA</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t="str">
        <f>VLOOKUP(A3,'Old Data'!A1:CM88,42,FALSE)</f>
        <v>NA</v>
      </c>
      <c r="H34" s="66" t="s">
        <v>1</v>
      </c>
      <c r="I34" s="11" t="str">
        <f>IF(OR(G34="NA",G34="**"),"NA",IF(G34&lt;C34,"Not Met","Met"))</f>
        <v>NA</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t="str">
        <f>VLOOKUP(A3,'Old Data'!A1:CM88,43,FALSE)</f>
        <v>NA</v>
      </c>
      <c r="H37" s="66" t="s">
        <v>1</v>
      </c>
      <c r="I37" s="11" t="str">
        <f>IF(OR(G37="NA",G37="**"),"NA",IF(G37&lt;C37,"Not Met","Met"))</f>
        <v>NA</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t="str">
        <f>VLOOKUP(A3,'Old Data'!A1:CM88,44,FALSE)</f>
        <v>NA</v>
      </c>
      <c r="H40" s="66" t="s">
        <v>1</v>
      </c>
      <c r="I40" s="11" t="str">
        <f>IF(OR(G40="NA",G40="**"),"NA",IF(G40&lt;C40,"Not Met","Met"))</f>
        <v>NA</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1</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t="str">
        <f>VLOOKUP(A3,'Old Data'!A1:CM88,46,FALSE)</f>
        <v>NA</v>
      </c>
      <c r="H46" s="66" t="s">
        <v>1</v>
      </c>
      <c r="I46" s="11" t="str">
        <f>IF(OR(G46="NA",G46="**"),"NA",IF(G46&lt;C46,"Not Met","Met"))</f>
        <v>NA</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t="str">
        <f>VLOOKUP(A3,'Old Data'!A1:CM88,47,FALSE)</f>
        <v>NA</v>
      </c>
      <c r="H49" s="66" t="s">
        <v>1</v>
      </c>
      <c r="I49" s="11" t="str">
        <f>IF(OR(G49="NA",G49="**"),"NA",IF(G49&lt;C49,"Not Met","Met"))</f>
        <v>NA</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t="str">
        <f>VLOOKUP(A3,'Old Data'!A1:CM88,48,FALSE)</f>
        <v>NA</v>
      </c>
      <c r="H52" s="66" t="s">
        <v>1</v>
      </c>
      <c r="I52" s="11" t="str">
        <f>IF(OR(G52="NA",G52="**"),"NA",IF(G52&lt;C52,"Not Met","Met"))</f>
        <v>NA</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t="str">
        <f>VLOOKUP(A3,'Old Data'!A1:CM88,49,FALSE)</f>
        <v>NA</v>
      </c>
      <c r="H55" s="66" t="s">
        <v>1</v>
      </c>
      <c r="I55" s="11" t="str">
        <f>IF(OR(G55="NA",G55="**"),"NA",IF(G55&lt;C55,"Not Met","Met"))</f>
        <v>NA</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t="str">
        <f>VLOOKUP(A3,'Old Data'!A1:CM88,50,FALSE)</f>
        <v>NA</v>
      </c>
      <c r="H58" s="66" t="s">
        <v>1</v>
      </c>
      <c r="I58" s="11" t="str">
        <f>IF(OR(G58="NA",G58="**"),"NA",IF(G58&lt;C58,"Not Met","Met"))</f>
        <v>NA</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t="str">
        <f>VLOOKUP(A3,'Old Data'!A1:CM88,51,FALSE)</f>
        <v>NA</v>
      </c>
      <c r="H61" s="66" t="s">
        <v>1</v>
      </c>
      <c r="I61" s="11" t="str">
        <f>IF(OR(G61="NA",G61="**"),"NA",IF(G61&lt;C61,"Not Met","Met"))</f>
        <v>NA</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t="str">
        <f>VLOOKUP(A3,'Old Data'!A1:CM88,52,FALSE)</f>
        <v>NA</v>
      </c>
      <c r="H64" s="66" t="s">
        <v>1</v>
      </c>
      <c r="I64" s="11" t="str">
        <f>IF(OR(G64="NA",G64="**"),"NA",IF(G64&lt;C64,"Not Met","Met"))</f>
        <v>NA</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t="str">
        <f>VLOOKUP(A3,'Old Data'!A1:CM88,53,FALSE)</f>
        <v>NA</v>
      </c>
      <c r="H67" s="66" t="s">
        <v>1</v>
      </c>
      <c r="I67" s="11" t="str">
        <f>IF(OR(G67="NA",G67="**"),"NA",IF(G67&lt;C67,"Not Met","Met"))</f>
        <v>NA</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t="str">
        <f>VLOOKUP(A3,'Old Data'!A1:CM88,54,FALSE)</f>
        <v>NA</v>
      </c>
      <c r="H70" s="66" t="s">
        <v>1</v>
      </c>
      <c r="I70" s="11" t="str">
        <f>IF(OR(G70="NA",G70="**"),"NA",IF(G70&lt;C70,"Not Met","Met"))</f>
        <v>NA</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t="str">
        <f>VLOOKUP(A3,'Old Data'!A1:CM88,55,FALSE)</f>
        <v>NA</v>
      </c>
      <c r="H73" s="66" t="s">
        <v>1</v>
      </c>
      <c r="I73" s="11" t="str">
        <f>IF(OR(G73="NA",G73="**"),"NA",IF(G73&gt;C73,"Not Met","Met"))</f>
        <v>NA</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t="str">
        <f>VLOOKUP(A3,'Old Data'!A1:CM88,56,FALSE)</f>
        <v>NA</v>
      </c>
      <c r="H76" s="66" t="s">
        <v>1</v>
      </c>
      <c r="I76" s="11" t="str">
        <f>IF(OR(G76="NA",G76="**"),"NA",IF(G76&gt;C76,"Not Met","Met"))</f>
        <v>NA</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t="str">
        <f>VLOOKUP(A3,'Old Data'!A1:CM88,58,FALSE)</f>
        <v>NA</v>
      </c>
      <c r="H82" s="66" t="s">
        <v>1</v>
      </c>
      <c r="I82" s="11" t="str">
        <f>IF(OR(G82="NA",G82="**"),"NA",IF(G82&gt;C82,"Not Met","Met"))</f>
        <v>NA</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t="str">
        <f>VLOOKUP(A3,'Old Data'!A1:CM88,59,FALSE)</f>
        <v>NA</v>
      </c>
      <c r="H85" s="66" t="s">
        <v>1</v>
      </c>
      <c r="I85" s="11" t="str">
        <f>IF(OR(G85="NA",G85="**"),"NA",IF(G85&gt;C85,"Not Met","Met"))</f>
        <v>NA</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t="str">
        <f>VLOOKUP(A3,'Old Data'!A1:CM88,60,FALSE)</f>
        <v>NA</v>
      </c>
      <c r="H88" s="66" t="s">
        <v>1</v>
      </c>
      <c r="I88" s="11" t="str">
        <f>IF(OR(G88="NA",G88="**"),"NA",IF(G88&gt;C88,"Not Met","Met"))</f>
        <v>NA</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NA</v>
      </c>
      <c r="H92" s="66" t="s">
        <v>1</v>
      </c>
      <c r="I92" s="11" t="str">
        <f t="shared" ref="I92" si="1">IF(OR(G92="NA",G92="**"),"NA",IF(G92="No","Met",IF(G92="Yes","Not Met")))</f>
        <v>NA</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NA</v>
      </c>
      <c r="H95" s="66" t="s">
        <v>1</v>
      </c>
      <c r="I95" s="11" t="str">
        <f>IF(OR(G95="NA",G95="**"),"NA",IF(G95="No","Met",IF(G95="Yes","Not Met")))</f>
        <v>NA</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1</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0</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t="str">
        <f>VLOOKUP(A3,'Old Data'!A1:CM88,66,FALSE)</f>
        <v>NA</v>
      </c>
      <c r="H109" s="66" t="s">
        <v>1</v>
      </c>
      <c r="I109" s="11" t="str">
        <f>IF(OR(G109="NA",G109="**"),"NA",IF(G109&lt;C109,"Not Met","Met"))</f>
        <v>NA</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t="str">
        <f>VLOOKUP(A3,'Old Data'!A1:CM88,67,FALSE)</f>
        <v>NA</v>
      </c>
      <c r="H112" s="66" t="s">
        <v>1</v>
      </c>
      <c r="I112" s="11" t="str">
        <f t="shared" ref="I112:I180" si="3">IF(OR(G112="NA",G112="**"),"NA",IF(G112&lt;C112,"Not Met","Met"))</f>
        <v>NA</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t="str">
        <f>VLOOKUP(A3,'Old Data'!A1:CM88,69,FALSE)</f>
        <v>NA</v>
      </c>
      <c r="H118" s="66" t="s">
        <v>1</v>
      </c>
      <c r="I118" s="11" t="str">
        <f>IF(OR(G118="NA",G118="**"),"NA",IF(G118&gt;C118,"Not Met","Met"))</f>
        <v>NA</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t="str">
        <f>VLOOKUP(A3,'Old Data'!A1:CM88,70,FALSE)</f>
        <v>NA</v>
      </c>
      <c r="H121" s="66" t="s">
        <v>1</v>
      </c>
      <c r="I121" s="11" t="str">
        <f>IF(OR(G121="NA",G121="**"),"NA",IF(G121&gt;C121,"Not Met","Met"))</f>
        <v>NA</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t="str">
        <f>VLOOKUP(A3,'Old Data'!A1:CM88,75,FALSE)</f>
        <v>NA</v>
      </c>
      <c r="H138" s="66" t="s">
        <v>1</v>
      </c>
      <c r="I138" s="11" t="str">
        <f t="shared" si="3"/>
        <v>NA</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t="str">
        <f>VLOOKUP(A3,'Old Data'!A1:CM88,76,FALSE)</f>
        <v>NA</v>
      </c>
      <c r="H142" s="66" t="s">
        <v>1</v>
      </c>
      <c r="I142" s="11" t="str">
        <f t="shared" si="3"/>
        <v>NA</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t="str">
        <f>VLOOKUP(A3,'Old Data'!A1:CM88,77,FALSE)</f>
        <v>NA</v>
      </c>
      <c r="H146" s="66" t="s">
        <v>1</v>
      </c>
      <c r="I146" s="11" t="str">
        <f t="shared" si="3"/>
        <v>NA</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t="str">
        <f>VLOOKUP(A3,'Old Data'!A1:CM88,78,FALSE)</f>
        <v>NA</v>
      </c>
      <c r="H150" s="66" t="s">
        <v>1</v>
      </c>
      <c r="I150" s="11" t="str">
        <f t="shared" si="3"/>
        <v>NA</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t="str">
        <f>VLOOKUP(A3,'Old Data'!A1:CM88,79,FALSE)</f>
        <v>NA</v>
      </c>
      <c r="H154" s="66" t="s">
        <v>1</v>
      </c>
      <c r="I154" s="11" t="str">
        <f t="shared" si="3"/>
        <v>NA</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t="str">
        <f>VLOOKUP(A3,'Old Data'!A1:CM88,80,FALSE)</f>
        <v>NA</v>
      </c>
      <c r="H158" s="66" t="s">
        <v>1</v>
      </c>
      <c r="I158" s="11" t="str">
        <f t="shared" si="3"/>
        <v>NA</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t="str">
        <f>VLOOKUP(A3,'Old Data'!A1:CM88,81,FALSE)</f>
        <v>NA</v>
      </c>
      <c r="H162" s="66" t="s">
        <v>1</v>
      </c>
      <c r="I162" s="11" t="str">
        <f t="shared" ref="I162" si="4">IF(OR(G162="NA",G162="**"),"NA",IF(G162&lt;C162,"Not Met","Met"))</f>
        <v>NA</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NA</v>
      </c>
      <c r="H171" s="66" t="s">
        <v>1</v>
      </c>
      <c r="I171" s="11" t="str">
        <f>IF(OR(G171="NA",G171="**"),"NA",IF(G171="No","Met",IF(G171="Yes","Not Met")))</f>
        <v>NA</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t="str">
        <f>VLOOKUP(A3,'Old Data'!A1:CM88,84,FALSE)</f>
        <v>NA</v>
      </c>
      <c r="H175" s="66" t="s">
        <v>1</v>
      </c>
      <c r="I175" s="11" t="str">
        <f>IF(OR(G175="NA",G175="**"),"NA",IF(G175&lt;C175,"Not Met","Met"))</f>
        <v>NA</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t="str">
        <f>VLOOKUP(A3,'Old Data'!A1:CM88,85,FALSE)</f>
        <v>NA</v>
      </c>
      <c r="H180" s="66" t="s">
        <v>1</v>
      </c>
      <c r="I180" s="11" t="str">
        <f t="shared" si="3"/>
        <v>NA</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t="str">
        <f>VLOOKUP(A3,'Old Data'!A1:CM88,86,FALSE)</f>
        <v>NA</v>
      </c>
      <c r="H184" s="66" t="s">
        <v>1</v>
      </c>
      <c r="I184" s="11" t="str">
        <f t="shared" ref="I184" si="5">IF(OR(G184="NA",G184="**"),"NA",IF(G184&lt;C184,"Not Met","Met"))</f>
        <v>NA</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t="str">
        <f>VLOOKUP(A3,'Old Data'!A1:CM88,87,FALSE)</f>
        <v>NA</v>
      </c>
      <c r="H189" s="66" t="s">
        <v>1</v>
      </c>
      <c r="I189" s="11" t="str">
        <f t="shared" ref="I189" si="6">IF(OR(G189="NA",G189="**"),"NA",IF(G189&lt;C189,"Not Met","Met"))</f>
        <v>NA</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t="str">
        <f>VLOOKUP(A3,'Old Data'!A1:CM88,88,FALSE)</f>
        <v>NA</v>
      </c>
      <c r="H193" s="66" t="s">
        <v>1</v>
      </c>
      <c r="I193" s="11" t="str">
        <f>IF(OR(G193="NA",G193="**"),"NA",IF(G193&lt;C193,"Not Met","Met"))</f>
        <v>NA</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t="str">
        <f>VLOOKUP(A3,'Old Data'!A1:CM88,89,FALSE)</f>
        <v>NA</v>
      </c>
      <c r="H197" s="66" t="s">
        <v>1</v>
      </c>
      <c r="I197" s="11" t="str">
        <f t="shared" ref="I197" si="7">IF(OR(G197="NA",G197="**"),"NA",IF(G197&lt;C197,"Not Met","Met"))</f>
        <v>NA</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74V+X3HyHzlNwN7V1Z6ReeW0zIEbnI3mCf6vlELsK1oCYNSZC6vQcyDkKJbXeSe7GJPgxx3JAAFvk0RuArWamw==" saltValue="e59kNryJ7A13wRexEimls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460</v>
      </c>
      <c r="B3" s="36"/>
      <c r="C3" s="36"/>
      <c r="D3" s="36"/>
      <c r="E3" s="36"/>
      <c r="F3" s="36"/>
      <c r="G3" s="36"/>
      <c r="H3" s="10"/>
      <c r="I3" s="10"/>
      <c r="J3" s="10"/>
    </row>
    <row r="4" spans="1:10" x14ac:dyDescent="0.2">
      <c r="A4" s="9" t="str">
        <f>VLOOKUP(A3,Data!A1:AQ88,2,FALSE)</f>
        <v>192 Gettys Rd</v>
      </c>
    </row>
    <row r="5" spans="1:10" x14ac:dyDescent="0.2">
      <c r="A5" s="9" t="str">
        <f>VLOOKUP(A3,Data!A1:AQ88,3,FALSE)</f>
        <v>McCormick</v>
      </c>
      <c r="C5" s="12" t="str">
        <f>VLOOKUP(A3,Data!A1:AQ88,4,FALSE)</f>
        <v>SC</v>
      </c>
      <c r="D5" s="12">
        <f>VLOOKUP(A3,Data!A1:AQ88,5,FALSE)</f>
        <v>29835</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t="str">
        <f>VLOOKUP(A3,Data!A1:AQ88,8,FALSE)</f>
        <v>NA</v>
      </c>
      <c r="C14" s="94" t="str">
        <f>IF(B14=0,"2 or more consecutive years of findings of non-compliance (current year and previous year(s))",
IF(B14=1,"Findings of non-compliance in the current year",
IF(B14=2,"No findings of non-compliance","")))</f>
        <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t="str">
        <f>VLOOKUP(A3,Data!A1:AQ88,10,FALSE)</f>
        <v>NA</v>
      </c>
      <c r="C18" s="92" t="str">
        <f>IF(B18=0,"2 or more consecutive years of findings of non-compliance (current year and previous year(s))",
IF(B18=1,"Findings of non-compliance in the current year",
IF(B18=2,"No findings of non-compliance","")))</f>
        <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t="str">
        <f>VLOOKUP(A3,Data!A1:AQ88,11,FALSE)</f>
        <v>NA</v>
      </c>
      <c r="C20" s="92" t="str">
        <f>IF(B20=0,"2 or more consecutive years of findings of non-compliance (current year and previous year(s))",
IF(B20=1,"Findings of non-compliance in the current year",
IF(B20=2,"No findings of non-compliance","")))</f>
        <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t="str">
        <f>VLOOKUP(A3,Data!A1:AQ88,12,FALSE)</f>
        <v>NA</v>
      </c>
      <c r="C22" s="95" t="str">
        <f>IF(B22=0,"2 or more consecutive years of findings of non-compliance (current year and previous year(s))",
IF(B22=1,"Findings of non-compliance in the current year",
IF(B22=2,"No findings of non-compliance","")))</f>
        <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t="str">
        <f>VLOOKUP(A3,Data!A1:AQ88,14,FALSE)</f>
        <v>NA</v>
      </c>
      <c r="C26" s="95" t="str">
        <f>IF(B26=0,"2 or more consecutive years of findings of non-compliance (current year and previous year(s))",
IF(B26=1,"Findings of non-compliance in the current year",
IF(B26=2,"No findings of non-compliance","")))</f>
        <v/>
      </c>
      <c r="D26" s="78"/>
      <c r="E26" s="78"/>
      <c r="F26" s="78"/>
      <c r="G26" s="78"/>
      <c r="H26" s="78"/>
      <c r="I26" s="78"/>
      <c r="J26" s="78"/>
    </row>
    <row r="27" spans="1:10" ht="21.95" customHeight="1" x14ac:dyDescent="0.2">
      <c r="A27" s="48" t="s">
        <v>16</v>
      </c>
      <c r="B27" s="41">
        <f>SUM(B10,B12,B14,B16,B18,B20,B22,B24,B26)</f>
        <v>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t="str">
        <f>VLOOKUP(A3,Data!A1:AQ88,15,FALSE)</f>
        <v>NA</v>
      </c>
      <c r="C30" s="92" t="str">
        <f>IF(B30=0,"Does not meet prior year’s state performance and did not improve",
IF(B30=1,"Does not meet prior year’s state performance but improved since last year",
IF(B30=2,"Meets or exceeds prior year’s state performance",
IF(B30=3,"Meets or exceeds current state target",""))))</f>
        <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t="str">
        <f>VLOOKUP(A3,Data!A1:AQ88,16,FALSE)</f>
        <v>NA</v>
      </c>
      <c r="E34" s="23"/>
      <c r="F34" s="23"/>
      <c r="G34" s="23"/>
      <c r="H34" s="23"/>
      <c r="I34" s="23"/>
      <c r="J34" s="23"/>
    </row>
    <row r="35" spans="1:10" ht="11.25" customHeight="1" x14ac:dyDescent="0.2">
      <c r="A35" s="19"/>
      <c r="B35" s="43" t="s">
        <v>466</v>
      </c>
      <c r="C35" s="56" t="str">
        <f>VLOOKUP(A3,Data!A1:AQ88,17,FALSE)</f>
        <v>NA</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t="str">
        <f>VLOOKUP(A3,Data!A1:AQ88,18,FALSE)</f>
        <v>NA</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t="str">
        <f>VLOOKUP(A3,Data!A1:AQ88,19,FALSE)</f>
        <v>NA</v>
      </c>
      <c r="E42" s="23"/>
      <c r="F42" s="23"/>
      <c r="G42" s="23"/>
      <c r="H42" s="23"/>
      <c r="I42" s="23"/>
      <c r="J42" s="23"/>
    </row>
    <row r="43" spans="1:10" ht="11.25" customHeight="1" x14ac:dyDescent="0.2">
      <c r="A43" s="19"/>
      <c r="B43" s="43" t="s">
        <v>466</v>
      </c>
      <c r="C43" s="56" t="str">
        <f>VLOOKUP(A3,Data!A1:AQ88,20,FALSE)</f>
        <v>NA</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t="str">
        <f>VLOOKUP(A3,Data!A1:AQ88,21,FALSE)</f>
        <v>NA</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t="str">
        <f>VLOOKUP(A3,Data!A1:AQ88,22,FALSE)</f>
        <v>NA</v>
      </c>
      <c r="E50" s="23"/>
      <c r="F50" s="23"/>
      <c r="G50" s="23"/>
      <c r="H50" s="23"/>
      <c r="I50" s="23"/>
      <c r="J50" s="23"/>
    </row>
    <row r="51" spans="1:10" ht="11.25" customHeight="1" x14ac:dyDescent="0.2">
      <c r="A51" s="19"/>
      <c r="B51" s="43" t="s">
        <v>466</v>
      </c>
      <c r="C51" s="56" t="str">
        <f>VLOOKUP(A3,Data!A1:AQ88,23,FALSE)</f>
        <v>NA</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t="str">
        <f>VLOOKUP(A3,Data!A1:AQ88,24,FALSE)</f>
        <v>NA</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t="str">
        <f>VLOOKUP(A3,Data!A1:AQ88,25,FALSE)</f>
        <v>NA</v>
      </c>
      <c r="E58" s="23"/>
      <c r="F58" s="23"/>
      <c r="G58" s="23"/>
      <c r="H58" s="23"/>
      <c r="I58" s="23"/>
      <c r="J58" s="23"/>
    </row>
    <row r="59" spans="1:10" ht="11.25" customHeight="1" x14ac:dyDescent="0.2">
      <c r="A59" s="19"/>
      <c r="B59" s="43" t="s">
        <v>466</v>
      </c>
      <c r="C59" s="56" t="str">
        <f>VLOOKUP(A3,Data!A1:AQ88,26,FALSE)</f>
        <v>NA</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t="str">
        <f>VLOOKUP(A3,Data!A1:AQ88,27,FALSE)</f>
        <v>NA</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t="str">
        <f>VLOOKUP(A3,Data!A1:AQ88,28,FALSE)</f>
        <v>NA</v>
      </c>
      <c r="E66" s="23"/>
      <c r="F66" s="23"/>
      <c r="G66" s="23"/>
      <c r="H66" s="23"/>
      <c r="I66" s="23"/>
      <c r="J66" s="23"/>
    </row>
    <row r="67" spans="1:10" ht="11.25" customHeight="1" x14ac:dyDescent="0.2">
      <c r="A67" s="19"/>
      <c r="B67" s="43" t="s">
        <v>466</v>
      </c>
      <c r="C67" s="56" t="str">
        <f>VLOOKUP(A3,Data!A1:AQ88,29,FALSE)</f>
        <v>NA</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t="str">
        <f>VLOOKUP(A3,Data!A1:AQ88,31,FALSE)</f>
        <v>NA</v>
      </c>
      <c r="E74" s="23"/>
      <c r="F74" s="23"/>
      <c r="G74" s="23"/>
      <c r="H74" s="23"/>
      <c r="I74" s="23"/>
      <c r="J74" s="23"/>
    </row>
    <row r="75" spans="1:10" ht="11.25" customHeight="1" x14ac:dyDescent="0.2">
      <c r="A75" s="19"/>
      <c r="B75" s="43" t="s">
        <v>466</v>
      </c>
      <c r="C75" s="56">
        <f>VLOOKUP(A3,Data!A1:AQ88,32,FALSE)</f>
        <v>1</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t="str">
        <f>VLOOKUP(A3,Data!A1:AQ88,33,FALSE)</f>
        <v>NA</v>
      </c>
      <c r="C78" s="92" t="str">
        <f>IF(B78=0,"Does not meet prior year’s state performance and did not improve",
IF(B78=1,"Does not meet prior year’s state performance but improved since last year",
IF(B78=2,"Meets or exceeds prior year’s state performance",
IF(B78=3,"Meets or exceeds current state target",""))))</f>
        <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3</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current state target</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t="str">
        <f>VLOOKUP(A3,Data!A1:AQ88,37,FALSE)</f>
        <v>NA</v>
      </c>
      <c r="E90" s="23"/>
      <c r="F90" s="23"/>
      <c r="G90" s="23"/>
      <c r="H90" s="23"/>
      <c r="I90" s="23"/>
      <c r="J90" s="23"/>
    </row>
    <row r="91" spans="1:10" ht="11.25" customHeight="1" x14ac:dyDescent="0.2">
      <c r="A91" s="19"/>
      <c r="B91" s="43" t="s">
        <v>466</v>
      </c>
      <c r="C91" s="56">
        <f>VLOOKUP(A3,Data!A1:AQ88,38,FALSE)</f>
        <v>0</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3</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current state target</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t="str">
        <f>VLOOKUP(A3,Data!A1:AQ88,40,FALSE)</f>
        <v>NA</v>
      </c>
      <c r="E98" s="23"/>
      <c r="F98" s="23"/>
      <c r="G98" s="23"/>
      <c r="H98" s="23"/>
      <c r="I98" s="23"/>
      <c r="J98" s="23"/>
    </row>
    <row r="99" spans="1:10" ht="11.25" customHeight="1" x14ac:dyDescent="0.2">
      <c r="A99" s="19"/>
      <c r="B99" s="43" t="s">
        <v>466</v>
      </c>
      <c r="C99" s="56">
        <f>VLOOKUP(A3,Data!A1:AQ88,41,FALSE)</f>
        <v>1</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9</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8</v>
      </c>
      <c r="B104" s="99">
        <f>B101</f>
        <v>9</v>
      </c>
      <c r="C104" s="63">
        <f>VLOOKUP(A3,Data!A1:AQ88,42,FALSE)</f>
        <v>1</v>
      </c>
      <c r="D104" s="99">
        <f>SUM(A104:C104)</f>
        <v>18</v>
      </c>
      <c r="E104" s="63">
        <f>VLOOKUP(A3,Data!A1:AQ88,43,FALSE)</f>
        <v>17</v>
      </c>
      <c r="F104" s="33">
        <f>D104/E104</f>
        <v>1.0588235294117647</v>
      </c>
      <c r="G104" s="62" t="str">
        <f>IF(F104&gt;=0.8,"Meets Requirement",
IF(F104&gt;=0.6,"Needs Assistance",
IF(F104&gt;=0.3,"Needs Assistance",
IF(F104&lt;0.3,"Needs Assistance","NA"))))</f>
        <v>Meets Requirement</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xLod75HcLverAZ5aMybw+Am4R+asN1ihPgdI7hWUY2rbC8zvFpoH/mdkNtv0xTASC/S879z42iDanOl0AaotmA==" saltValue="BPDqAOA7hcyrrlZGL3/Kw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2023-09-06T13:29:01Z</dcterms:modified>
</cp:coreProperties>
</file>