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B90D31F1-0BEF-4615-8071-C931685AF329}" xr6:coauthVersionLast="47" xr6:coauthVersionMax="47" xr10:uidLastSave="{00000000-0000-0000-0000-000000000000}"/>
  <workbookProtection workbookAlgorithmName="SHA-512" workbookHashValue="0I8CE2HgjBzQ6g4eQH4ItQTKj6pO95IFfahS3bI3GbvfJ9V5LxHPktOJeiQOgxe5NAOfxTMDr/YPf848QKpZpQ==" workbookSaltValue="ICf82NOeP58wzxsQWjq6A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<sst xmlns="http://schemas.openxmlformats.org/spreadsheetml/2006/main" count="2581" uniqueCount="605">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</sst>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0.5</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0.629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0.89129999999999998</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0.6129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0.88370000000000004</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0.85709999999999997</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0.7097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0.90243902439024404</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0.95121951219512202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0.230769230769231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9.6774193548387094E-2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0.64583333333333304</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0.230769230769231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0.12121212121212099</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0.44444444444444398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0.72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0.33333333333333298</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0.33333333333333298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0.29896049896049898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0.392329922674373</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0.240305280528053</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0.23950103950103999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0.26433004746257799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0.120409112040911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0.64480000000000004</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0.12759999999999999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0.99280000000000002</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0.13789999999999999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0.55169999999999997</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0.12</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1.72E-2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0.28570000000000001</c:v>
                </c:pt>
                <c:pt idx="3">
                  <c:v>0.22639999999999999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7.1400000000000005E-2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0.55169999999999997</c:v>
                </c:pt>
                <c:pt idx="3">
                  <c:v>0.42309999999999998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0.34</c:v>
                </c:pt>
                <c:pt idx="3">
                  <c:v>0.22639999999999999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0.76270000000000004</c:v>
                </c:pt>
                <c:pt idx="3">
                  <c:v>0.64480000000000004</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6.9800000000000001E-2</c:v>
                </c:pt>
                <c:pt idx="3">
                  <c:v>0.1095</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0.24399999999999999</c:v>
                </c:pt>
                <c:pt idx="3">
                  <c:v>0.27500000000000002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c:v>
                </c:pt>
                <c:pt idx="3">
                  <c:v>0.1351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8.6999999999999994E-2</c:v>
                </c:pt>
                <c:pt idx="3">
                  <c:v>0.15379999999999999</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0.12</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0.92500000000000004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86</v>
      </c>
      <c r="B3" s="36"/>
      <c r="C3" s="36"/>
      <c r="D3" s="36"/>
      <c r="E3" s="36"/>
      <c r="F3" s="36"/>
      <c r="G3" s="36"/>
      <c r="H3" s="36"/>
      <c r="I3" s="36"/>
      <c r="J3" s="36"/>
      <c r="K3" s="36"/>
      <c r="L3" s="36"/>
      <c r="M3" s="36"/>
      <c r="N3" s="36"/>
      <c r="O3" s="10"/>
    </row>
    <row r="4" spans="1:20" s="9" customFormat="1" ht="11.25" x14ac:dyDescent="0.2">
      <c r="A4" s="9" t="str">
        <f>+VLOOKUP(A3,'Old Data'!A1:CM88,2,FALSE)</f>
        <v>121 Wheeler Street</v>
      </c>
      <c r="C4" s="12"/>
      <c r="E4" s="12"/>
      <c r="F4" s="12"/>
    </row>
    <row r="5" spans="1:20" s="9" customFormat="1" ht="11.25" x14ac:dyDescent="0.2">
      <c r="A5" s="9" t="str">
        <f>+VLOOKUP(A3,'Old Data'!A1:CM88,3,FALSE)</f>
        <v>Campobello</v>
      </c>
      <c r="C5" s="12"/>
      <c r="E5" s="12"/>
      <c r="F5" s="12"/>
      <c r="G5" s="12" t="str">
        <f>+VLOOKUP(A3,'Old Data'!A1:CM88,4,FALSE)</f>
        <v>SC</v>
      </c>
      <c r="H5" s="12"/>
      <c r="I5" s="12">
        <f>+VLOOKUP(A3,'Old Data'!A1:CM88,5,FALSE)</f>
        <v>29322</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0.55169999999999997</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0.13789999999999999</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0.90243902439024404</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0.95121951219512202</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0.230769230769231</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9.6774193548387094E-2</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0.64583333333333304</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0.230769230769231</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0.12121212121212099</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0.44444444444444398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0.33333333333333298</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0.33333333333333298</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0.5</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0.29896049896049898</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0.392329922674373</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0.240305280528053</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0.23950103950103999</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0.26433004746257799</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0.120409112040911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Yes</v>
      </c>
      <c r="H95" s="66" t="s">
        <v>1</v>
      </c>
      <c r="I95" s="11" t="str">
        <f>IF(OR(G95="NA",G95="**"),"NA",IF(G95="No","Met",IF(G95="Yes","Not Met")))</f>
        <v>Not 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0.64480000000000004</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0.12759999999999999</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1.72E-2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0.5</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0.72</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0.12</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7.1400000000000005E-2</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0.12</v>
      </c>
      <c r="H130" s="66" t="s">
        <v>1</v>
      </c>
      <c r="I130" s="11" t="str">
        <f>IF(OR(G130="NA",G130="**"),"NA",IF(G130&gt;C130,"Not Met","Met"))</f>
        <v>Not 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0.92500000000000004</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0.629</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0.89129999999999998</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0.6129</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0.88370000000000004</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0.7097</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0.99280000000000002</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0.85709999999999997</v>
      </c>
      <c r="H180" s="66" t="s">
        <v>1</v>
      </c>
      <c r="I180" s="11" t="str">
        <f t="shared" si="3"/>
        <v>Not 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0.33329999999999999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1</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U4ai6eXpG4nK1+UBB1L9hN3A1rCkSXhHlY5ENKfJT3bmXc4Er6vhUeVFOFveuq9dtqNM+TXP7aZ0NI5K/5uSkA==" saltValue="fLuMo06S8G4+QRzwskjc2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86</v>
      </c>
      <c r="B3" s="36"/>
      <c r="C3" s="36"/>
      <c r="D3" s="36"/>
      <c r="E3" s="36"/>
      <c r="F3" s="36"/>
      <c r="G3" s="36"/>
      <c r="H3" s="10"/>
      <c r="I3" s="10"/>
      <c r="J3" s="10"/>
    </row>
    <row r="4" spans="1:10" x14ac:dyDescent="0.2">
      <c r="A4" s="9" t="str">
        <f>VLOOKUP(A3,Data!A1:AQ88,2,FALSE)</f>
        <v>121 Wheeler Street</v>
      </c>
    </row>
    <row r="5" spans="1:10" x14ac:dyDescent="0.2">
      <c r="A5" s="9" t="str">
        <f>VLOOKUP(A3,Data!A1:AQ88,3,FALSE)</f>
        <v>Campobello</v>
      </c>
      <c r="C5" s="12" t="str">
        <f>VLOOKUP(A3,Data!A1:AQ88,4,FALSE)</f>
        <v>SC</v>
      </c>
      <c r="D5" s="12">
        <f>VLOOKUP(A3,Data!A1:AQ88,5,FALSE)</f>
        <v>29322</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1</v>
      </c>
      <c r="C20" s="92" t="str">
        <f>IF(B20=0,"2 or more consecutive years of findings of non-compliance (current year and previous year(s))",
IF(B20=1,"Findings of non-compliance in the current year",
IF(B20=2,"No findings of non-compliance","")))</f>
        <v>Findings of non-compliance in the current year</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1</v>
      </c>
      <c r="C22" s="95" t="str">
        <f>IF(B22=0,"2 or more consecutive years of findings of non-compliance (current year and previous year(s))",
IF(B22=1,"Findings of non-compliance in the current year",
IF(B22=2,"No findings of non-compliance","")))</f>
        <v>Findings of non-compliance in the current year</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14</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0.55169999999999997</v>
      </c>
      <c r="E34" s="23"/>
      <c r="F34" s="23"/>
      <c r="G34" s="23"/>
      <c r="H34" s="23"/>
      <c r="I34" s="23"/>
      <c r="J34" s="23"/>
    </row>
    <row r="35" spans="1:10" ht="11.25" customHeight="1" x14ac:dyDescent="0.2">
      <c r="A35" s="19"/>
      <c r="B35" s="43" t="s">
        <v>466</v>
      </c>
      <c r="C35" s="56">
        <f>VLOOKUP(A3,Data!A1:AQ88,17,FALSE)</f>
        <v>0.42309999999999998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0.28570000000000001</v>
      </c>
      <c r="E42" s="23"/>
      <c r="F42" s="23"/>
      <c r="G42" s="23"/>
      <c r="H42" s="23"/>
      <c r="I42" s="23"/>
      <c r="J42" s="23"/>
    </row>
    <row r="43" spans="1:10" ht="11.25" customHeight="1" x14ac:dyDescent="0.2">
      <c r="A43" s="19"/>
      <c r="B43" s="43" t="s">
        <v>466</v>
      </c>
      <c r="C43" s="56">
        <f>VLOOKUP(A3,Data!A1:AQ88,20,FALSE)</f>
        <v>0.22639999999999999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v>
      </c>
      <c r="E50" s="23"/>
      <c r="F50" s="23"/>
      <c r="G50" s="23"/>
      <c r="H50" s="23"/>
      <c r="I50" s="23"/>
      <c r="J50" s="23"/>
    </row>
    <row r="51" spans="1:10" ht="11.25" customHeight="1" x14ac:dyDescent="0.2">
      <c r="A51" s="19"/>
      <c r="B51" s="43" t="s">
        <v>466</v>
      </c>
      <c r="C51" s="56">
        <f>VLOOKUP(A3,Data!A1:AQ88,23,FALSE)</f>
        <v>0.1351</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0.34</v>
      </c>
      <c r="E58" s="23"/>
      <c r="F58" s="23"/>
      <c r="G58" s="23"/>
      <c r="H58" s="23"/>
      <c r="I58" s="23"/>
      <c r="J58" s="23"/>
    </row>
    <row r="59" spans="1:10" ht="11.25" customHeight="1" x14ac:dyDescent="0.2">
      <c r="A59" s="19"/>
      <c r="B59" s="43" t="s">
        <v>466</v>
      </c>
      <c r="C59" s="56">
        <f>VLOOKUP(A3,Data!A1:AQ88,26,FALSE)</f>
        <v>0.22639999999999999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8.6999999999999994E-2</v>
      </c>
      <c r="E66" s="23"/>
      <c r="F66" s="23"/>
      <c r="G66" s="23"/>
      <c r="H66" s="23"/>
      <c r="I66" s="23"/>
      <c r="J66" s="23"/>
    </row>
    <row r="67" spans="1:10" ht="11.25" customHeight="1" x14ac:dyDescent="0.2">
      <c r="A67" s="19"/>
      <c r="B67" s="43" t="s">
        <v>466</v>
      </c>
      <c r="C67" s="56">
        <f>VLOOKUP(A3,Data!A1:AQ88,29,FALSE)</f>
        <v>0.15379999999999999</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0.76270000000000004</v>
      </c>
      <c r="E74" s="23"/>
      <c r="F74" s="23"/>
      <c r="G74" s="23"/>
      <c r="H74" s="23"/>
      <c r="I74" s="23"/>
      <c r="J74" s="23"/>
    </row>
    <row r="75" spans="1:10" ht="11.25" customHeight="1" x14ac:dyDescent="0.2">
      <c r="A75" s="19"/>
      <c r="B75" s="43" t="s">
        <v>466</v>
      </c>
      <c r="C75" s="56">
        <f>VLOOKUP(A3,Data!A1:AQ88,32,FALSE)</f>
        <v>0.64480000000000004</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6.9800000000000001E-2</v>
      </c>
      <c r="E90" s="23"/>
      <c r="F90" s="23"/>
      <c r="G90" s="23"/>
      <c r="H90" s="23"/>
      <c r="I90" s="23"/>
      <c r="J90" s="23"/>
    </row>
    <row r="91" spans="1:10" ht="11.25" customHeight="1" x14ac:dyDescent="0.2">
      <c r="A91" s="19"/>
      <c r="B91" s="43" t="s">
        <v>466</v>
      </c>
      <c r="C91" s="56">
        <f>VLOOKUP(A3,Data!A1:AQ88,38,FALSE)</f>
        <v>0.1095</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0.24399999999999999</v>
      </c>
      <c r="E98" s="23"/>
      <c r="F98" s="23"/>
      <c r="G98" s="23"/>
      <c r="H98" s="23"/>
      <c r="I98" s="23"/>
      <c r="J98" s="23"/>
    </row>
    <row r="99" spans="1:10" ht="11.25" customHeight="1" x14ac:dyDescent="0.2">
      <c r="A99" s="19"/>
      <c r="B99" s="43" t="s">
        <v>466</v>
      </c>
      <c r="C99" s="56">
        <f>VLOOKUP(A3,Data!A1:AQ88,41,FALSE)</f>
        <v>0.27500000000000002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13</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14</v>
      </c>
      <c r="B104" s="99">
        <f>B101</f>
        <v>13</v>
      </c>
      <c r="C104" s="63">
        <f>VLOOKUP(A3,Data!A1:AQ88,42,FALSE)</f>
        <v>1</v>
      </c>
      <c r="D104" s="99">
        <f>SUM(A104:C104)</f>
        <v>28</v>
      </c>
      <c r="E104" s="63">
        <f>VLOOKUP(A3,Data!A1:AQ88,43,FALSE)</f>
        <v>40</v>
      </c>
      <c r="F104" s="33">
        <f>D104/E104</f>
        <v>0.7</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7wBaKwkFwLifgfZTnYyARZKpbZ59YKZGje2XJc/WfdyIc0R5lfdG4UTEJKKqdOY/gx4+ZQFurDCPTsYg9tIeJA==" saltValue="cnLrDiAaTP7sLzuoXpar3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2023-09-06T13:29:07Z</dcterms:modified>
</cp:coreProperties>
</file>