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FECDC2A1-04AE-4AA5-9EB5-DE346959F698}" xr6:coauthVersionLast="47" xr6:coauthVersionMax="47" xr10:uidLastSave="{00000000-0000-0000-0000-000000000000}"/>
  <workbookProtection workbookAlgorithmName="SHA-512" workbookHashValue="NApHjkRuUof8A8hV5ufH5wO4Gu4It4r7j2aAzHiGq93JgYpXMOsfMV0vsPJKYT66N/3w78lCIxmEzCcq989+Jg==" workbookSaltValue="pFTbfJswHd08YtcCnJsLv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<sst xmlns="http://schemas.openxmlformats.org/spreadsheetml/2006/main" count="2581" uniqueCount="605">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</sst>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0.68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0.67310000000000003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0.86670000000000003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0.56730000000000003</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0.90700000000000003</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0.04</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0.98013245033112595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0.95041322314049603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0.85709999999999997</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0.97029702970297005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0.95041322314049603</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0.97247706422018398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0.17142857142857101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7.4074074074074098E-2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0.52808988764044895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0.15107913669064699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4.6296296296296301E-2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0.35294117647058798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0.25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0.72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0.28571428571428598</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0.125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0.28571428571428598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0.44635989010989002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0.47487264215888703</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0.35235703973385202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0.40126743370646401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0.38703703703703701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0.30502585649644498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0.71530000000000005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0.16159999999999999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0.99239999999999995</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0.1429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0.52380000000000004</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0.61899999999999999</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0.20449999999999999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0.46589999999999998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0.06</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7.1999999999999998E-3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0.97350993377483397</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0.30530000000000002</c:v>
                </c:pt>
                <c:pt idx="3">
                  <c:v>0.1757</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0.16</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0.46589999999999998</c:v>
                </c:pt>
                <c:pt idx="3">
                  <c:v>0.73680000000000001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0.31059999999999999</c:v>
                </c:pt>
                <c:pt idx="3">
                  <c:v>0.1497</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0.73209999999999997</c:v>
                </c:pt>
                <c:pt idx="3">
                  <c:v>0.71530000000000005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0.10290000000000001</c:v>
                </c:pt>
                <c:pt idx="3">
                  <c:v>0.1212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0.28399999999999997</c:v>
                </c:pt>
                <c:pt idx="3">
                  <c:v>0.372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0.13</c:v>
                </c:pt>
                <c:pt idx="3">
                  <c:v>8.6999999999999994E-2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0.1089</c:v>
                </c:pt>
                <c:pt idx="3">
                  <c:v>6.0900000000000003E-2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0.06</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0.93410000000000004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87</v>
      </c>
      <c r="B3" s="36"/>
      <c r="C3" s="36"/>
      <c r="D3" s="36"/>
      <c r="E3" s="36"/>
      <c r="F3" s="36"/>
      <c r="G3" s="36"/>
      <c r="H3" s="36"/>
      <c r="I3" s="36"/>
      <c r="J3" s="36"/>
      <c r="K3" s="36"/>
      <c r="L3" s="36"/>
      <c r="M3" s="36"/>
      <c r="N3" s="36"/>
      <c r="O3" s="10"/>
    </row>
    <row r="4" spans="1:20" s="9" customFormat="1" ht="11.25" x14ac:dyDescent="0.2">
      <c r="A4" s="9" t="str">
        <f>+VLOOKUP(A3,'Old Data'!A1:CM88,2,FALSE)</f>
        <v>3231 Old Furnace Rd</v>
      </c>
      <c r="C4" s="12"/>
      <c r="E4" s="12"/>
      <c r="F4" s="12"/>
    </row>
    <row r="5" spans="1:20" s="9" customFormat="1" ht="11.25" x14ac:dyDescent="0.2">
      <c r="A5" s="9" t="str">
        <f>+VLOOKUP(A3,'Old Data'!A1:CM88,3,FALSE)</f>
        <v>Chesnee</v>
      </c>
      <c r="C5" s="12"/>
      <c r="E5" s="12"/>
      <c r="F5" s="12"/>
      <c r="G5" s="12" t="str">
        <f>+VLOOKUP(A3,'Old Data'!A1:CM88,4,FALSE)</f>
        <v>SC</v>
      </c>
      <c r="H5" s="12"/>
      <c r="I5" s="12">
        <f>+VLOOKUP(A3,'Old Data'!A1:CM88,5,FALSE)</f>
        <v>29323</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0.46589999999999998</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0.20449999999999999</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0.98013245033112595</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0.95041322314049603</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0.97029702970297005</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0.97350993377483397</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0.95041322314049603</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0.97247706422018398</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0.17142857142857101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7.4074074074074098E-2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0.52808988764044895</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0.15107913669064699</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4.6296296296296301E-2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0.35294117647058798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0.25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0.28571428571428598</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0.125</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0.28571428571428598</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0.5</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0.44635989010989002</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0.47487264215888703</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0.35235703973385202</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0.40126743370646401</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0.38703703703703701</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0.30502585649644498</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Yes</v>
      </c>
      <c r="H92" s="66" t="s">
        <v>1</v>
      </c>
      <c r="I92" s="11" t="str">
        <f t="shared" ref="I92" si="1">IF(OR(G92="NA",G92="**"),"NA",IF(G92="No","Met",IF(G92="Yes","Not Met")))</f>
        <v>Not 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Yes</v>
      </c>
      <c r="H95" s="66" t="s">
        <v>1</v>
      </c>
      <c r="I95" s="11" t="str">
        <f>IF(OR(G95="NA",G95="**"),"NA",IF(G95="No","Met",IF(G95="Yes","Not Met")))</f>
        <v>Not 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0.71530000000000005</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0.16159999999999999</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7.1999999999999998E-3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0.68</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0.04</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0.85709999999999997</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0.72</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0.06</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0.16</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0.06</v>
      </c>
      <c r="H130" s="66" t="s">
        <v>1</v>
      </c>
      <c r="I130" s="11" t="str">
        <f>IF(OR(G130="NA",G130="**"),"NA",IF(G130&gt;C130,"Not Met","Met"))</f>
        <v>Not 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0.93410000000000004</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0.67310000000000003</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0.86670000000000003</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0.56730000000000003</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0.90700000000000003</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0.75</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0.99239999999999995</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0.1429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0.52380000000000004</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0.61899999999999999</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PwKMAdJGpO3rSSsv4AwQWrJXw73gPNtMUn7B12SW4//yp+gzqc8RsBpLSHyzbuNUw8pnhU4pifX5kP0Dy355Nw==" saltValue="9p/lVYhms9vBHg7y22mQn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87</v>
      </c>
      <c r="B3" s="36"/>
      <c r="C3" s="36"/>
      <c r="D3" s="36"/>
      <c r="E3" s="36"/>
      <c r="F3" s="36"/>
      <c r="G3" s="36"/>
      <c r="H3" s="10"/>
      <c r="I3" s="10"/>
      <c r="J3" s="10"/>
    </row>
    <row r="4" spans="1:10" x14ac:dyDescent="0.2">
      <c r="A4" s="9" t="str">
        <f>VLOOKUP(A3,Data!A1:AQ88,2,FALSE)</f>
        <v>3231 Old Furnace Rd</v>
      </c>
    </row>
    <row r="5" spans="1:10" x14ac:dyDescent="0.2">
      <c r="A5" s="9" t="str">
        <f>VLOOKUP(A3,Data!A1:AQ88,3,FALSE)</f>
        <v>Chesnee</v>
      </c>
      <c r="C5" s="12" t="str">
        <f>VLOOKUP(A3,Data!A1:AQ88,4,FALSE)</f>
        <v>SC</v>
      </c>
      <c r="D5" s="12">
        <f>VLOOKUP(A3,Data!A1:AQ88,5,FALSE)</f>
        <v>29323</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1</v>
      </c>
      <c r="C22" s="95" t="str">
        <f>IF(B22=0,"2 or more consecutive years of findings of non-compliance (current year and previous year(s))",
IF(B22=1,"Findings of non-compliance in the current year",
IF(B22=2,"No findings of non-compliance","")))</f>
        <v>Findings of non-compliance in the current year</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3</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current state target</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0.46589999999999998</v>
      </c>
      <c r="E34" s="23"/>
      <c r="F34" s="23"/>
      <c r="G34" s="23"/>
      <c r="H34" s="23"/>
      <c r="I34" s="23"/>
      <c r="J34" s="23"/>
    </row>
    <row r="35" spans="1:10" ht="11.25" customHeight="1" x14ac:dyDescent="0.2">
      <c r="A35" s="19"/>
      <c r="B35" s="43" t="s">
        <v>466</v>
      </c>
      <c r="C35" s="56">
        <f>VLOOKUP(A3,Data!A1:AQ88,17,FALSE)</f>
        <v>0.73680000000000001</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0.30530000000000002</v>
      </c>
      <c r="E42" s="23"/>
      <c r="F42" s="23"/>
      <c r="G42" s="23"/>
      <c r="H42" s="23"/>
      <c r="I42" s="23"/>
      <c r="J42" s="23"/>
    </row>
    <row r="43" spans="1:10" ht="11.25" customHeight="1" x14ac:dyDescent="0.2">
      <c r="A43" s="19"/>
      <c r="B43" s="43" t="s">
        <v>466</v>
      </c>
      <c r="C43" s="56">
        <f>VLOOKUP(A3,Data!A1:AQ88,20,FALSE)</f>
        <v>0.1757</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0.13</v>
      </c>
      <c r="E50" s="23"/>
      <c r="F50" s="23"/>
      <c r="G50" s="23"/>
      <c r="H50" s="23"/>
      <c r="I50" s="23"/>
      <c r="J50" s="23"/>
    </row>
    <row r="51" spans="1:10" ht="11.25" customHeight="1" x14ac:dyDescent="0.2">
      <c r="A51" s="19"/>
      <c r="B51" s="43" t="s">
        <v>466</v>
      </c>
      <c r="C51" s="56">
        <f>VLOOKUP(A3,Data!A1:AQ88,23,FALSE)</f>
        <v>8.6999999999999994E-2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0.31059999999999999</v>
      </c>
      <c r="E58" s="23"/>
      <c r="F58" s="23"/>
      <c r="G58" s="23"/>
      <c r="H58" s="23"/>
      <c r="I58" s="23"/>
      <c r="J58" s="23"/>
    </row>
    <row r="59" spans="1:10" ht="11.25" customHeight="1" x14ac:dyDescent="0.2">
      <c r="A59" s="19"/>
      <c r="B59" s="43" t="s">
        <v>466</v>
      </c>
      <c r="C59" s="56">
        <f>VLOOKUP(A3,Data!A1:AQ88,26,FALSE)</f>
        <v>0.1497</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0.1089</v>
      </c>
      <c r="E66" s="23"/>
      <c r="F66" s="23"/>
      <c r="G66" s="23"/>
      <c r="H66" s="23"/>
      <c r="I66" s="23"/>
      <c r="J66" s="23"/>
    </row>
    <row r="67" spans="1:10" ht="11.25" customHeight="1" x14ac:dyDescent="0.2">
      <c r="A67" s="19"/>
      <c r="B67" s="43" t="s">
        <v>466</v>
      </c>
      <c r="C67" s="56">
        <f>VLOOKUP(A3,Data!A1:AQ88,29,FALSE)</f>
        <v>6.0900000000000003E-2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0.73209999999999997</v>
      </c>
      <c r="E74" s="23"/>
      <c r="F74" s="23"/>
      <c r="G74" s="23"/>
      <c r="H74" s="23"/>
      <c r="I74" s="23"/>
      <c r="J74" s="23"/>
    </row>
    <row r="75" spans="1:10" ht="11.25" customHeight="1" x14ac:dyDescent="0.2">
      <c r="A75" s="19"/>
      <c r="B75" s="43" t="s">
        <v>466</v>
      </c>
      <c r="C75" s="56">
        <f>VLOOKUP(A3,Data!A1:AQ88,32,FALSE)</f>
        <v>0.71530000000000005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0.10290000000000001</v>
      </c>
      <c r="E90" s="23"/>
      <c r="F90" s="23"/>
      <c r="G90" s="23"/>
      <c r="H90" s="23"/>
      <c r="I90" s="23"/>
      <c r="J90" s="23"/>
    </row>
    <row r="91" spans="1:10" ht="11.25" customHeight="1" x14ac:dyDescent="0.2">
      <c r="A91" s="19"/>
      <c r="B91" s="43" t="s">
        <v>466</v>
      </c>
      <c r="C91" s="56">
        <f>VLOOKUP(A3,Data!A1:AQ88,38,FALSE)</f>
        <v>0.1212</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0.28399999999999997</v>
      </c>
      <c r="E98" s="23"/>
      <c r="F98" s="23"/>
      <c r="G98" s="23"/>
      <c r="H98" s="23"/>
      <c r="I98" s="23"/>
      <c r="J98" s="23"/>
    </row>
    <row r="99" spans="1:10" ht="11.25" customHeight="1" x14ac:dyDescent="0.2">
      <c r="A99" s="19"/>
      <c r="B99" s="43" t="s">
        <v>466</v>
      </c>
      <c r="C99" s="56">
        <f>VLOOKUP(A3,Data!A1:AQ88,41,FALSE)</f>
        <v>0.372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13</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13</v>
      </c>
      <c r="C104" s="63">
        <f>VLOOKUP(A3,Data!A1:AQ88,42,FALSE)</f>
        <v>1</v>
      </c>
      <c r="D104" s="99">
        <f>SUM(A104:C104)</f>
        <v>30</v>
      </c>
      <c r="E104" s="63">
        <f>VLOOKUP(A3,Data!A1:AQ88,43,FALSE)</f>
        <v>40</v>
      </c>
      <c r="F104" s="33">
        <f>D104/E104</f>
        <v>0.75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7ZgyNhsV2jily71LaEVoBiJFqMKYETrf3F2N5A7AfjU5Q17ulIOqgIdVgc0fdk/ADFp4PSl45bIQPNljUdCQ5w==" saltValue="ncSYLlHuBUSP7EwVv+hNN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2023-09-06T13:29:09Z</dcterms:modified>
</cp:coreProperties>
</file>