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1E9F594E-132D-4C00-A3D1-A9821ED7C62F}" xr6:coauthVersionLast="47" xr6:coauthVersionMax="47" xr10:uidLastSave="{00000000-0000-0000-0000-000000000000}"/>
  <workbookProtection workbookAlgorithmName="SHA-512" workbookHashValue="TdyLZwYUbXijcJytc67oWlk/VH3d3Z8R+Wo/XpiDjqwm5h9pi7FD/PglT6CrcxTeIB1mA2Jm1W/2yEzCYGGr7g==" workbookSaltValue="a9C+FD6CQwJerTdx36A8G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<sst xmlns="http://schemas.openxmlformats.org/spreadsheetml/2006/main" count="2581" uniqueCount="605">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</sst>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0.26319999999999999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0.94120000000000004</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0.42109999999999997</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0.66669999999999996</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0.68420000000000003</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0.97058823529411797</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0.97058823529411797</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0.22222222222222199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3.3333333333333298E-2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0.52631578947368396</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0.27777777777777801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3.3333333333333298E-2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0.21052631578947401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0.625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0.33333333333333298</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0.33333333333333298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0.34728450423517698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0.449920255183413</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0.38952579468473197</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0.32760338814150503</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0.354226475279107</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0.375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0.52860411899313497</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0.57950000000000002</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0.2051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0.9778</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0.1111</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0.66669999999999996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0.77780000000000005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0</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0.30299999999999999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0.54549999999999998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2.0500000000000001E-2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0.1081</c:v>
                </c:pt>
                <c:pt idx="3">
                  <c:v>0.21049999999999999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0.54549999999999998</c:v>
                </c:pt>
                <c:pt idx="3">
                  <c:v>0.36359999999999998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0.16220000000000001</c:v>
                </c:pt>
                <c:pt idx="3">
                  <c:v>0.28070000000000001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0.62429999999999997</c:v>
                </c:pt>
                <c:pt idx="3">
                  <c:v>0.57950000000000002</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0.1216</c:v>
                </c:pt>
                <c:pt idx="3">
                  <c:v>0.2145</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0.29599999999999999</c:v>
                </c:pt>
                <c:pt idx="3">
                  <c:v>0.34599999999999997</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2.5600000000000001E-2</c:v>
                </c:pt>
                <c:pt idx="3">
                  <c:v>3.0300000000000001E-2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2.63E-2</c:v>
                </c:pt>
                <c:pt idx="3">
                  <c:v>6.0600000000000001E-2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0.94440000000000002</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89</v>
      </c>
      <c r="B3" s="36"/>
      <c r="C3" s="36"/>
      <c r="D3" s="36"/>
      <c r="E3" s="36"/>
      <c r="F3" s="36"/>
      <c r="G3" s="36"/>
      <c r="H3" s="36"/>
      <c r="I3" s="36"/>
      <c r="J3" s="36"/>
      <c r="K3" s="36"/>
      <c r="L3" s="36"/>
      <c r="M3" s="36"/>
      <c r="N3" s="36"/>
      <c r="O3" s="10"/>
    </row>
    <row r="4" spans="1:20" s="9" customFormat="1" ht="11.25" x14ac:dyDescent="0.2">
      <c r="A4" s="9" t="str">
        <f>+VLOOKUP(A3,'Old Data'!A1:CM88,2,FALSE)</f>
        <v>118 McEdco Road</v>
      </c>
      <c r="C4" s="12"/>
      <c r="E4" s="12"/>
      <c r="F4" s="12"/>
    </row>
    <row r="5" spans="1:20" s="9" customFormat="1" ht="11.25" x14ac:dyDescent="0.2">
      <c r="A5" s="9" t="str">
        <f>+VLOOKUP(A3,'Old Data'!A1:CM88,3,FALSE)</f>
        <v>Woodruff</v>
      </c>
      <c r="C5" s="12"/>
      <c r="E5" s="12"/>
      <c r="F5" s="12"/>
      <c r="G5" s="12" t="str">
        <f>+VLOOKUP(A3,'Old Data'!A1:CM88,4,FALSE)</f>
        <v>SC</v>
      </c>
      <c r="H5" s="12"/>
      <c r="I5" s="12">
        <f>+VLOOKUP(A3,'Old Data'!A1:CM88,5,FALSE)</f>
        <v>29388</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0.54549999999999998</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0.30299999999999999</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0.97058823529411797</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0.97058823529411797</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0.22222222222222199</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3.3333333333333298E-2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0.52631578947368396</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0.27777777777777801</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3.3333333333333298E-2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0.21052631578947401</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0.33333333333333298</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0.33333333333333298</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0.34728450423517698</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0.449920255183413</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0.38952579468473197</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0.32760338814150503</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0.354226475279107</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0.52860411899313497</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Yes</v>
      </c>
      <c r="H92" s="66" t="s">
        <v>1</v>
      </c>
      <c r="I92" s="11" t="str">
        <f t="shared" ref="I92" si="1">IF(OR(G92="NA",G92="**"),"NA",IF(G92="No","Met",IF(G92="Yes","Not Met")))</f>
        <v>Not 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0.57950000000000002</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0.2051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2.0500000000000001E-2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0.66669999999999996</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0.625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0.375</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0.94440000000000002</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0.26319999999999999</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0.94120000000000004</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0.42109999999999997</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1</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0.68420000000000003</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0.9778</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0</v>
      </c>
      <c r="H184" s="66" t="s">
        <v>1</v>
      </c>
      <c r="I184" s="11" t="str">
        <f t="shared" ref="I184" si="5">IF(OR(G184="NA",G184="**"),"NA",IF(G184&lt;C184,"Not Met","Met"))</f>
        <v>Not 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0.1111</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0.66669999999999996</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0.77780000000000005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22Tfbh1rq2ouvJOl2utGOP4SYsE7sc+d9AXIl2erIcqCNDdPNuVuRRkCQCnWK59UON1J8MODI3Wd5xBDVc6Y0Q==" saltValue="uxZVtC3KY2yI1MPStvWsf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89</v>
      </c>
      <c r="B3" s="36"/>
      <c r="C3" s="36"/>
      <c r="D3" s="36"/>
      <c r="E3" s="36"/>
      <c r="F3" s="36"/>
      <c r="G3" s="36"/>
      <c r="H3" s="10"/>
      <c r="I3" s="10"/>
      <c r="J3" s="10"/>
    </row>
    <row r="4" spans="1:10" x14ac:dyDescent="0.2">
      <c r="A4" s="9" t="str">
        <f>VLOOKUP(A3,Data!A1:AQ88,2,FALSE)</f>
        <v>118 McEdco Road</v>
      </c>
    </row>
    <row r="5" spans="1:10" x14ac:dyDescent="0.2">
      <c r="A5" s="9" t="str">
        <f>VLOOKUP(A3,Data!A1:AQ88,3,FALSE)</f>
        <v>Woodruff</v>
      </c>
      <c r="C5" s="12" t="str">
        <f>VLOOKUP(A3,Data!A1:AQ88,4,FALSE)</f>
        <v>SC</v>
      </c>
      <c r="D5" s="12">
        <f>VLOOKUP(A3,Data!A1:AQ88,5,FALSE)</f>
        <v>29388</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16</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0.54549999999999998</v>
      </c>
      <c r="E34" s="23"/>
      <c r="F34" s="23"/>
      <c r="G34" s="23"/>
      <c r="H34" s="23"/>
      <c r="I34" s="23"/>
      <c r="J34" s="23"/>
    </row>
    <row r="35" spans="1:10" ht="11.25" customHeight="1" x14ac:dyDescent="0.2">
      <c r="A35" s="19"/>
      <c r="B35" s="43" t="s">
        <v>466</v>
      </c>
      <c r="C35" s="56">
        <f>VLOOKUP(A3,Data!A1:AQ88,17,FALSE)</f>
        <v>0.36359999999999998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0.1081</v>
      </c>
      <c r="E42" s="23"/>
      <c r="F42" s="23"/>
      <c r="G42" s="23"/>
      <c r="H42" s="23"/>
      <c r="I42" s="23"/>
      <c r="J42" s="23"/>
    </row>
    <row r="43" spans="1:10" ht="11.25" customHeight="1" x14ac:dyDescent="0.2">
      <c r="A43" s="19"/>
      <c r="B43" s="43" t="s">
        <v>466</v>
      </c>
      <c r="C43" s="56">
        <f>VLOOKUP(A3,Data!A1:AQ88,20,FALSE)</f>
        <v>0.21049999999999999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2.5600000000000001E-2</v>
      </c>
      <c r="E50" s="23"/>
      <c r="F50" s="23"/>
      <c r="G50" s="23"/>
      <c r="H50" s="23"/>
      <c r="I50" s="23"/>
      <c r="J50" s="23"/>
    </row>
    <row r="51" spans="1:10" ht="11.25" customHeight="1" x14ac:dyDescent="0.2">
      <c r="A51" s="19"/>
      <c r="B51" s="43" t="s">
        <v>466</v>
      </c>
      <c r="C51" s="56">
        <f>VLOOKUP(A3,Data!A1:AQ88,23,FALSE)</f>
        <v>3.0300000000000001E-2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0.16220000000000001</v>
      </c>
      <c r="E58" s="23"/>
      <c r="F58" s="23"/>
      <c r="G58" s="23"/>
      <c r="H58" s="23"/>
      <c r="I58" s="23"/>
      <c r="J58" s="23"/>
    </row>
    <row r="59" spans="1:10" ht="11.25" customHeight="1" x14ac:dyDescent="0.2">
      <c r="A59" s="19"/>
      <c r="B59" s="43" t="s">
        <v>466</v>
      </c>
      <c r="C59" s="56">
        <f>VLOOKUP(A3,Data!A1:AQ88,26,FALSE)</f>
        <v>0.28070000000000001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but improved since last year</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2.63E-2</v>
      </c>
      <c r="E66" s="23"/>
      <c r="F66" s="23"/>
      <c r="G66" s="23"/>
      <c r="H66" s="23"/>
      <c r="I66" s="23"/>
      <c r="J66" s="23"/>
    </row>
    <row r="67" spans="1:10" ht="11.25" customHeight="1" x14ac:dyDescent="0.2">
      <c r="A67" s="19"/>
      <c r="B67" s="43" t="s">
        <v>466</v>
      </c>
      <c r="C67" s="56">
        <f>VLOOKUP(A3,Data!A1:AQ88,29,FALSE)</f>
        <v>6.0600000000000001E-2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0.62429999999999997</v>
      </c>
      <c r="E74" s="23"/>
      <c r="F74" s="23"/>
      <c r="G74" s="23"/>
      <c r="H74" s="23"/>
      <c r="I74" s="23"/>
      <c r="J74" s="23"/>
    </row>
    <row r="75" spans="1:10" ht="11.25" customHeight="1" x14ac:dyDescent="0.2">
      <c r="A75" s="19"/>
      <c r="B75" s="43" t="s">
        <v>466</v>
      </c>
      <c r="C75" s="56">
        <f>VLOOKUP(A3,Data!A1:AQ88,32,FALSE)</f>
        <v>0.57950000000000002</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0.1216</v>
      </c>
      <c r="E90" s="23"/>
      <c r="F90" s="23"/>
      <c r="G90" s="23"/>
      <c r="H90" s="23"/>
      <c r="I90" s="23"/>
      <c r="J90" s="23"/>
    </row>
    <row r="91" spans="1:10" ht="11.25" customHeight="1" x14ac:dyDescent="0.2">
      <c r="A91" s="19"/>
      <c r="B91" s="43" t="s">
        <v>466</v>
      </c>
      <c r="C91" s="56">
        <f>VLOOKUP(A3,Data!A1:AQ88,38,FALSE)</f>
        <v>0.2145</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0.29599999999999999</v>
      </c>
      <c r="E98" s="23"/>
      <c r="F98" s="23"/>
      <c r="G98" s="23"/>
      <c r="H98" s="23"/>
      <c r="I98" s="23"/>
      <c r="J98" s="23"/>
    </row>
    <row r="99" spans="1:10" ht="11.25" customHeight="1" x14ac:dyDescent="0.2">
      <c r="A99" s="19"/>
      <c r="B99" s="43" t="s">
        <v>466</v>
      </c>
      <c r="C99" s="56">
        <f>VLOOKUP(A3,Data!A1:AQ88,41,FALSE)</f>
        <v>0.34599999999999997</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8.5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16</v>
      </c>
      <c r="B104" s="99">
        <f>B101</f>
        <v>8.5</v>
      </c>
      <c r="C104" s="63">
        <f>VLOOKUP(A3,Data!A1:AQ88,42,FALSE)</f>
        <v>1</v>
      </c>
      <c r="D104" s="99">
        <f>SUM(A104:C104)</f>
        <v>25.5</v>
      </c>
      <c r="E104" s="63">
        <f>VLOOKUP(A3,Data!A1:AQ88,43,FALSE)</f>
        <v>40</v>
      </c>
      <c r="F104" s="33">
        <f>D104/E104</f>
        <v>0.63749999999999996</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emD0qXRV2btikLCQSML4Olav9Eb/TnTAB0EIn8rEUDTksfH/6OyP6msB2RBjztaafFjK9wQUjLYck++u0MeFWQ==" saltValue="Z4JTREHrumGtx0PN3xfIc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2023-09-06T13:29:11Z</dcterms:modified>
</cp:coreProperties>
</file>