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7AB11738-CE48-4970-AF92-F0A0045755A8}" xr6:coauthVersionLast="47" xr6:coauthVersionMax="47" xr10:uidLastSave="{00000000-0000-0000-0000-000000000000}"/>
  <workbookProtection workbookAlgorithmName="SHA-512" workbookHashValue="57iyYX/Lpw9dA4OB1iSC5t4K+sPwHNh6UcnQOzVm5jJ8xPMrON9hVGJxrI5uKmwm6yw7AAqU6WFPQozX6OpnIA==" workbookSaltValue="Z7ahbXFONmWak0iFMailcg=="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<sst xmlns="http://schemas.openxmlformats.org/spreadsheetml/2006/main" count="2581" uniqueCount="605">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</sst>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4.7600000000000003E-2</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0.4667</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0.83909999999999996</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0.54169999999999996</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0.79790000000000005</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0.60829999999999995</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0.94740000000000002</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0.99270072992700698</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0.98214285714285698</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0.22220000000000001</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0.93</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0.98214285714285698</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0.918604651162791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0.21804511278195499</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5.7692307692307702E-2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0.53488372093023295</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0.19696969696969699</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3.8461538461538498E-2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0.24657534246575299</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0.28070000000000001</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0.33333333333333298</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0.28571428571428598</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0.66666666666666696</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0.33333333333333298</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0.5</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0.366935124372195</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0.42215655880643299</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0.35095442935878501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0.31629290249979902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0.35750315258512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0.15790000000000001</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0.36241342157918999</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0.77470000000000006</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0.1109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0.99670000000000003</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0.1923</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0.57689999999999997</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0.61539999999999995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0.26740000000000003</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0.66279999999999994</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1.7100000000000001E-2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0.99264705882352899</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0.188</c:v>
                </c:pt>
                <c:pt idx="3">
                  <c:v>0.2132</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0.66279999999999994</c:v>
                </c:pt>
                <c:pt idx="3">
                  <c:v>0.71130000000000004</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0.17949999999999999</c:v>
                </c:pt>
                <c:pt idx="3">
                  <c:v>0.2074</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0.79620000000000002</c:v>
                </c:pt>
                <c:pt idx="3">
                  <c:v>0.77470000000000006</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7.8200000000000006E-2</c:v>
                </c:pt>
                <c:pt idx="3">
                  <c:v>0.13800000000000001</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0.28399999999999997</c:v>
                </c:pt>
                <c:pt idx="3">
                  <c:v>0.28000000000000003</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0.1075</c:v>
                </c:pt>
                <c:pt idx="3">
                  <c:v>7.2700000000000001E-2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8.5999999999999993E-2</c:v>
                </c:pt>
                <c:pt idx="3">
                  <c:v>5.45E-2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0.82569999999999999</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90</v>
      </c>
      <c r="B3" s="36"/>
      <c r="C3" s="36"/>
      <c r="D3" s="36"/>
      <c r="E3" s="36"/>
      <c r="F3" s="36"/>
      <c r="G3" s="36"/>
      <c r="H3" s="36"/>
      <c r="I3" s="36"/>
      <c r="J3" s="36"/>
      <c r="K3" s="36"/>
      <c r="L3" s="36"/>
      <c r="M3" s="36"/>
      <c r="N3" s="36"/>
      <c r="O3" s="10"/>
    </row>
    <row r="4" spans="1:20" s="9" customFormat="1" ht="11.25" x14ac:dyDescent="0.2">
      <c r="A4" s="9" t="str">
        <f>+VLOOKUP(A3,'Old Data'!A1:CM88,2,FALSE)</f>
        <v>100 N Danzler Road</v>
      </c>
      <c r="C4" s="12"/>
      <c r="E4" s="12"/>
      <c r="F4" s="12"/>
    </row>
    <row r="5" spans="1:20" s="9" customFormat="1" ht="11.25" x14ac:dyDescent="0.2">
      <c r="A5" s="9" t="str">
        <f>+VLOOKUP(A3,'Old Data'!A1:CM88,3,FALSE)</f>
        <v>Duncan</v>
      </c>
      <c r="C5" s="12"/>
      <c r="E5" s="12"/>
      <c r="F5" s="12"/>
      <c r="G5" s="12" t="str">
        <f>+VLOOKUP(A3,'Old Data'!A1:CM88,4,FALSE)</f>
        <v>SC</v>
      </c>
      <c r="H5" s="12"/>
      <c r="I5" s="12">
        <f>+VLOOKUP(A3,'Old Data'!A1:CM88,5,FALSE)</f>
        <v>29334</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0.66279999999999994</v>
      </c>
      <c r="H11" s="66" t="s">
        <v>1</v>
      </c>
      <c r="I11" s="11" t="str">
        <f t="shared" ref="I11" si="0">IF(OR(G11="NA",G11="**"),"NA",IF(G11&lt;C11,"Not Met","Met"))</f>
        <v>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0.26740000000000003</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0.99270072992700698</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0.98214285714285698</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0.93</v>
      </c>
      <c r="H25" s="66" t="s">
        <v>1</v>
      </c>
      <c r="I25" s="11" t="str">
        <f>IF(OR(G25="NA",G25="**"),"NA",IF(G25&lt;C25,"Not Met","Met"))</f>
        <v>Not 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0.99264705882352899</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0.98214285714285698</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0.918604651162791</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0.21804511278195499</v>
      </c>
      <c r="H37" s="66" t="s">
        <v>1</v>
      </c>
      <c r="I37" s="11" t="str">
        <f>IF(OR(G37="NA",G37="**"),"NA",IF(G37&lt;C37,"Not Met","Met"))</f>
        <v>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5.7692307692307702E-2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0.53488372093023295</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0.19696969696969699</v>
      </c>
      <c r="H46" s="66" t="s">
        <v>1</v>
      </c>
      <c r="I46" s="11" t="str">
        <f>IF(OR(G46="NA",G46="**"),"NA",IF(G46&lt;C46,"Not Met","Met"))</f>
        <v>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3.8461538461538498E-2</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0.24657534246575299</v>
      </c>
      <c r="H52" s="66" t="s">
        <v>1</v>
      </c>
      <c r="I52" s="11" t="str">
        <f>IF(OR(G52="NA",G52="**"),"NA",IF(G52&lt;C52,"Not Met","Met"))</f>
        <v>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0.33333333333333298</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0.28571428571428598</v>
      </c>
      <c r="H61" s="66" t="s">
        <v>1</v>
      </c>
      <c r="I61" s="11" t="str">
        <f>IF(OR(G61="NA",G61="**"),"NA",IF(G61&lt;C61,"Not Met","Met"))</f>
        <v>Not 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0.66666666666666696</v>
      </c>
      <c r="H64" s="66" t="s">
        <v>1</v>
      </c>
      <c r="I64" s="11" t="str">
        <f>IF(OR(G64="NA",G64="**"),"NA",IF(G64&lt;C64,"Not Met","Met"))</f>
        <v>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0.33333333333333298</v>
      </c>
      <c r="H67" s="66" t="s">
        <v>1</v>
      </c>
      <c r="I67" s="11" t="str">
        <f>IF(OR(G67="NA",G67="**"),"NA",IF(G67&lt;C67,"Not Met","Met"))</f>
        <v>Not 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0.5</v>
      </c>
      <c r="H70" s="66" t="s">
        <v>1</v>
      </c>
      <c r="I70" s="11" t="str">
        <f>IF(OR(G70="NA",G70="**"),"NA",IF(G70&lt;C70,"Not Met","Met"))</f>
        <v>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0.366935124372195</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0.42215655880643299</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0.35095442935878501</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0.31629290249979902</v>
      </c>
      <c r="H82" s="66" t="s">
        <v>1</v>
      </c>
      <c r="I82" s="11" t="str">
        <f>IF(OR(G82="NA",G82="**"),"NA",IF(G82&gt;C82,"Not Met","Met"))</f>
        <v>Not 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0.35750315258512</v>
      </c>
      <c r="H85" s="66" t="s">
        <v>1</v>
      </c>
      <c r="I85" s="11" t="str">
        <f>IF(OR(G85="NA",G85="**"),"NA",IF(G85&gt;C85,"Not Met","Met"))</f>
        <v>Not 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0.36241342157918999</v>
      </c>
      <c r="H88" s="66" t="s">
        <v>1</v>
      </c>
      <c r="I88" s="11" t="str">
        <f>IF(OR(G88="NA",G88="**"),"NA",IF(G88&gt;C88,"Not Met","Met"))</f>
        <v>Not 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0.77470000000000006</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0.1109</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1.7100000000000001E-2</v>
      </c>
      <c r="H105" s="66" t="s">
        <v>1</v>
      </c>
      <c r="I105" s="11" t="str">
        <f>IF(OR(G105="NA",G105="**"),"NA",IF(G105&gt;C105,"Not Met","Met"))</f>
        <v>Not 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4.7600000000000003E-2</v>
      </c>
      <c r="H109" s="66" t="s">
        <v>1</v>
      </c>
      <c r="I109" s="11" t="str">
        <f>IF(OR(G109="NA",G109="**"),"NA",IF(G109&lt;C109,"Not Met","Met"))</f>
        <v>Not 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v>
      </c>
      <c r="H112" s="66" t="s">
        <v>1</v>
      </c>
      <c r="I112" s="11" t="str">
        <f t="shared" ref="I112:I180" si="3">IF(OR(G112="NA",G112="**"),"NA",IF(G112&lt;C112,"Not Met","Met"))</f>
        <v>Not 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0.22220000000000001</v>
      </c>
      <c r="H115" s="66" t="s">
        <v>1</v>
      </c>
      <c r="I115" s="11" t="str">
        <f t="shared" si="3"/>
        <v>Not 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0.28070000000000001</v>
      </c>
      <c r="H118" s="66" t="s">
        <v>1</v>
      </c>
      <c r="I118" s="11" t="str">
        <f>IF(OR(G118="NA",G118="**"),"NA",IF(G118&gt;C118,"Not Met","Met"))</f>
        <v>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0.15790000000000001</v>
      </c>
      <c r="H121" s="66" t="s">
        <v>1</v>
      </c>
      <c r="I121" s="11" t="str">
        <f>IF(OR(G121="NA",G121="**"),"NA",IF(G121&gt;C121,"Not Met","Met"))</f>
        <v>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0</v>
      </c>
      <c r="H127" s="66" t="s">
        <v>1</v>
      </c>
      <c r="I127" s="11" t="str">
        <f>IF(OR(G127="NA",G127="**"),"NA",IF(G127&gt;C127,"Not Met","Met"))</f>
        <v>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0.82569999999999999</v>
      </c>
      <c r="H138" s="66" t="s">
        <v>1</v>
      </c>
      <c r="I138" s="11" t="str">
        <f t="shared" si="3"/>
        <v>Not 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0.4667</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0.83909999999999996</v>
      </c>
      <c r="H146" s="66" t="s">
        <v>1</v>
      </c>
      <c r="I146" s="11" t="str">
        <f t="shared" si="3"/>
        <v>Not 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0.54169999999999996</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0.79790000000000005</v>
      </c>
      <c r="H154" s="66" t="s">
        <v>1</v>
      </c>
      <c r="I154" s="11" t="str">
        <f t="shared" si="3"/>
        <v>Not 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0.60829999999999995</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0.94740000000000002</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0.99670000000000003</v>
      </c>
      <c r="H175" s="66" t="s">
        <v>1</v>
      </c>
      <c r="I175" s="11" t="str">
        <f>IF(OR(G175="NA",G175="**"),"NA",IF(G175&lt;C175,"Not Met","Met"))</f>
        <v>Not 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0.1923</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0.57689999999999997</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0.61539999999999995</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w3bPljNpWidikM9jXna5V92bSAdfzxgpc+d/X4HvbKdmWSfMIFnnBr5+lP2rVGj3om8e5rVII1oWnwDbYdUZCw==" saltValue="D9ZPAgE/TBk4llZsW6LzGg=="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90</v>
      </c>
      <c r="B3" s="36"/>
      <c r="C3" s="36"/>
      <c r="D3" s="36"/>
      <c r="E3" s="36"/>
      <c r="F3" s="36"/>
      <c r="G3" s="36"/>
      <c r="H3" s="10"/>
      <c r="I3" s="10"/>
      <c r="J3" s="10"/>
    </row>
    <row r="4" spans="1:10" x14ac:dyDescent="0.2">
      <c r="A4" s="9" t="str">
        <f>VLOOKUP(A3,Data!A1:AQ88,2,FALSE)</f>
        <v>100 N Danzler Road</v>
      </c>
    </row>
    <row r="5" spans="1:10" x14ac:dyDescent="0.2">
      <c r="A5" s="9" t="str">
        <f>VLOOKUP(A3,Data!A1:AQ88,3,FALSE)</f>
        <v>Duncan</v>
      </c>
      <c r="C5" s="12" t="str">
        <f>VLOOKUP(A3,Data!A1:AQ88,4,FALSE)</f>
        <v>SC</v>
      </c>
      <c r="D5" s="12">
        <f>VLOOKUP(A3,Data!A1:AQ88,5,FALSE)</f>
        <v>29334</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1</v>
      </c>
      <c r="C18" s="92" t="str">
        <f>IF(B18=0,"2 or more consecutive years of findings of non-compliance (current year and previous year(s))",
IF(B18=1,"Findings of non-compliance in the current year",
IF(B18=2,"No findings of non-compliance","")))</f>
        <v>Findings of non-compliance in the current year</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17</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3</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current state target</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0.66279999999999994</v>
      </c>
      <c r="E34" s="23"/>
      <c r="F34" s="23"/>
      <c r="G34" s="23"/>
      <c r="H34" s="23"/>
      <c r="I34" s="23"/>
      <c r="J34" s="23"/>
    </row>
    <row r="35" spans="1:10" ht="11.25" customHeight="1" x14ac:dyDescent="0.2">
      <c r="A35" s="19"/>
      <c r="B35" s="43" t="s">
        <v>466</v>
      </c>
      <c r="C35" s="56">
        <f>VLOOKUP(A3,Data!A1:AQ88,17,FALSE)</f>
        <v>0.71130000000000004</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1</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Meets or exceeds prior year’s state performance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0.188</v>
      </c>
      <c r="E42" s="23"/>
      <c r="F42" s="23"/>
      <c r="G42" s="23"/>
      <c r="H42" s="23"/>
      <c r="I42" s="23"/>
      <c r="J42" s="23"/>
    </row>
    <row r="43" spans="1:10" ht="11.25" customHeight="1" x14ac:dyDescent="0.2">
      <c r="A43" s="19"/>
      <c r="B43" s="43" t="s">
        <v>466</v>
      </c>
      <c r="C43" s="56">
        <f>VLOOKUP(A3,Data!A1:AQ88,20,FALSE)</f>
        <v>0.2132</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0</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Does not meet prior year’s state performance and did not improve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0.1075</v>
      </c>
      <c r="E50" s="23"/>
      <c r="F50" s="23"/>
      <c r="G50" s="23"/>
      <c r="H50" s="23"/>
      <c r="I50" s="23"/>
      <c r="J50" s="23"/>
    </row>
    <row r="51" spans="1:10" ht="11.25" customHeight="1" x14ac:dyDescent="0.2">
      <c r="A51" s="19"/>
      <c r="B51" s="43" t="s">
        <v>466</v>
      </c>
      <c r="C51" s="56">
        <f>VLOOKUP(A3,Data!A1:AQ88,23,FALSE)</f>
        <v>7.2700000000000001E-2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but improved since last year</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0.17949999999999999</v>
      </c>
      <c r="E58" s="23"/>
      <c r="F58" s="23"/>
      <c r="G58" s="23"/>
      <c r="H58" s="23"/>
      <c r="I58" s="23"/>
      <c r="J58" s="23"/>
    </row>
    <row r="59" spans="1:10" ht="11.25" customHeight="1" x14ac:dyDescent="0.2">
      <c r="A59" s="19"/>
      <c r="B59" s="43" t="s">
        <v>466</v>
      </c>
      <c r="C59" s="56">
        <f>VLOOKUP(A3,Data!A1:AQ88,26,FALSE)</f>
        <v>0.2074</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8.5999999999999993E-2</v>
      </c>
      <c r="E66" s="23"/>
      <c r="F66" s="23"/>
      <c r="G66" s="23"/>
      <c r="H66" s="23"/>
      <c r="I66" s="23"/>
      <c r="J66" s="23"/>
    </row>
    <row r="67" spans="1:10" ht="11.25" customHeight="1" x14ac:dyDescent="0.2">
      <c r="A67" s="19"/>
      <c r="B67" s="43" t="s">
        <v>466</v>
      </c>
      <c r="C67" s="56">
        <f>VLOOKUP(A3,Data!A1:AQ88,29,FALSE)</f>
        <v>5.45E-2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3</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current state target</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0.79620000000000002</v>
      </c>
      <c r="E74" s="23"/>
      <c r="F74" s="23"/>
      <c r="G74" s="23"/>
      <c r="H74" s="23"/>
      <c r="I74" s="23"/>
      <c r="J74" s="23"/>
    </row>
    <row r="75" spans="1:10" ht="11.25" customHeight="1" x14ac:dyDescent="0.2">
      <c r="A75" s="19"/>
      <c r="B75" s="43" t="s">
        <v>466</v>
      </c>
      <c r="C75" s="56">
        <f>VLOOKUP(A3,Data!A1:AQ88,32,FALSE)</f>
        <v>0.77470000000000006</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2</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prior year’s state performance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7.8200000000000006E-2</v>
      </c>
      <c r="E90" s="23"/>
      <c r="F90" s="23"/>
      <c r="G90" s="23"/>
      <c r="H90" s="23"/>
      <c r="I90" s="23"/>
      <c r="J90" s="23"/>
    </row>
    <row r="91" spans="1:10" ht="11.25" customHeight="1" x14ac:dyDescent="0.2">
      <c r="A91" s="19"/>
      <c r="B91" s="43" t="s">
        <v>466</v>
      </c>
      <c r="C91" s="56">
        <f>VLOOKUP(A3,Data!A1:AQ88,38,FALSE)</f>
        <v>0.13800000000000001</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0</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and did not improve</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0.28399999999999997</v>
      </c>
      <c r="E98" s="23"/>
      <c r="F98" s="23"/>
      <c r="G98" s="23"/>
      <c r="H98" s="23"/>
      <c r="I98" s="23"/>
      <c r="J98" s="23"/>
    </row>
    <row r="99" spans="1:10" ht="11.25" customHeight="1" x14ac:dyDescent="0.2">
      <c r="A99" s="19"/>
      <c r="B99" s="43" t="s">
        <v>466</v>
      </c>
      <c r="C99" s="56">
        <f>VLOOKUP(A3,Data!A1:AQ88,41,FALSE)</f>
        <v>0.28000000000000003</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12.5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17</v>
      </c>
      <c r="B104" s="99">
        <f>B101</f>
        <v>12.5</v>
      </c>
      <c r="C104" s="63">
        <f>VLOOKUP(A3,Data!A1:AQ88,42,FALSE)</f>
        <v>1</v>
      </c>
      <c r="D104" s="99">
        <f>SUM(A104:C104)</f>
        <v>30.5</v>
      </c>
      <c r="E104" s="63">
        <f>VLOOKUP(A3,Data!A1:AQ88,43,FALSE)</f>
        <v>40</v>
      </c>
      <c r="F104" s="33">
        <f>D104/E104</f>
        <v>0.76249999999999996</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1svk7s5qNCJxMBObEhODQco4S5cblxx+RhHftfZRGCB1MAvqRihTLMD+Erfkd3gEdtfdUG3yZvzFdicnuiOARA==" saltValue="VnT4DXumVJir3mVhxY/KSQ=="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2023-09-06T13:29:12Z</dcterms:modified>
</cp:coreProperties>
</file>