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E3BE6130-1F7A-4001-9DC7-060999150A50}" xr6:coauthVersionLast="47" xr6:coauthVersionMax="47" xr10:uidLastSave="{00000000-0000-0000-0000-000000000000}"/>
  <workbookProtection workbookAlgorithmName="SHA-512" workbookHashValue="wxoZ32ZeLtQq8dQwNrjA9MKpBCNCwOsCzXob9lluQ5leC+moowJUX8tV/Dlqad3pV5/OhIbiE2pJl4RDqDjUyw==" workbookSaltValue="FMgO60jQRVXyWzKMj/raQw=="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<sst xmlns="http://schemas.openxmlformats.org/spreadsheetml/2006/main" count="2581" uniqueCount="605">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</sst>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0.88890000000000002</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0.59460000000000002</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0.80210000000000004</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0.58560000000000001</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0.86460000000000004</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2.7799999999999998E-2</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0.69369999999999998</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0.995</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0.93081761006289299</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0.81820000000000004</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0.96638655462184897</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0.93081761006289299</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0.97435897435897401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0.12953367875647701</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4.5112781954887202E-2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0.49549549549549499</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0.13020833333333301</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2.2556390977443601E-2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0.25342465753424698</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0.5</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0.84619999999999995</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0.133333333333333</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0.5</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0.2</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0.133333333333333</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0.16666666666666699</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0.28469757918507399</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0.35138228923897902</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0.30018018018018</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0.26419370229007599</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0.215694975142775</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5.7700000000000001E-2</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0.44003729316243101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0.69979999999999998</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0.19900000000000001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0.33329999999999999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0.76190000000000002</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0.76190000000000002</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0.31759999999999999</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0.58819999999999995</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1.41E-2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0.98499999999999999</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0.13159999999999999</c:v>
                </c:pt>
                <c:pt idx="3">
                  <c:v>0.14069999999999999</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0.58819999999999995</c:v>
                </c:pt>
                <c:pt idx="3">
                  <c:v>0.64559999999999995</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0.1053</c:v>
                </c:pt>
                <c:pt idx="3">
                  <c:v>0.13200000000000001</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0.67569999999999997</c:v>
                </c:pt>
                <c:pt idx="3">
                  <c:v>0.69979999999999998</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9.2700000000000005E-2</c:v>
                </c:pt>
                <c:pt idx="3">
                  <c:v>0.15809999999999999</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0.151</c:v>
                </c:pt>
                <c:pt idx="3">
                  <c:v>0.28699999999999998</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2.4E-2</c:v>
                </c:pt>
                <c:pt idx="3">
                  <c:v>5.4100000000000002E-2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1.6500000000000001E-2</c:v>
                </c:pt>
                <c:pt idx="3">
                  <c:v>3.3799999999999997E-2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0.86</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91</v>
      </c>
      <c r="B3" s="36"/>
      <c r="C3" s="36"/>
      <c r="D3" s="36"/>
      <c r="E3" s="36"/>
      <c r="F3" s="36"/>
      <c r="G3" s="36"/>
      <c r="H3" s="36"/>
      <c r="I3" s="36"/>
      <c r="J3" s="36"/>
      <c r="K3" s="36"/>
      <c r="L3" s="36"/>
      <c r="M3" s="36"/>
      <c r="N3" s="36"/>
      <c r="O3" s="10"/>
    </row>
    <row r="4" spans="1:20" s="9" customFormat="1" ht="11.25" x14ac:dyDescent="0.2">
      <c r="A4" s="9" t="str">
        <f>+VLOOKUP(A3,'Old Data'!A1:CM88,2,FALSE)</f>
        <v>1390 Cavalier Way</v>
      </c>
      <c r="C4" s="12"/>
      <c r="E4" s="12"/>
      <c r="F4" s="12"/>
    </row>
    <row r="5" spans="1:20" s="9" customFormat="1" ht="11.25" x14ac:dyDescent="0.2">
      <c r="A5" s="9" t="str">
        <f>+VLOOKUP(A3,'Old Data'!A1:CM88,3,FALSE)</f>
        <v>Roebuck</v>
      </c>
      <c r="C5" s="12"/>
      <c r="E5" s="12"/>
      <c r="F5" s="12"/>
      <c r="G5" s="12" t="str">
        <f>+VLOOKUP(A3,'Old Data'!A1:CM88,4,FALSE)</f>
        <v>SC</v>
      </c>
      <c r="H5" s="12"/>
      <c r="I5" s="12">
        <f>+VLOOKUP(A3,'Old Data'!A1:CM88,5,FALSE)</f>
        <v>29376</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0.58819999999999995</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0.31759999999999999</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0.995</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0.93081761006289299</v>
      </c>
      <c r="H22" s="66" t="s">
        <v>1</v>
      </c>
      <c r="I22" s="11" t="str">
        <f>IF(OR(G22="NA",G22="**"),"NA",IF(G22&lt;C22,"Not Met","Met"))</f>
        <v>Not 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0.96638655462184897</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0.98499999999999999</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0.93081761006289299</v>
      </c>
      <c r="H31" s="66" t="s">
        <v>1</v>
      </c>
      <c r="I31" s="11" t="str">
        <f>IF(OR(G31="NA",G31="**"),"NA",IF(G31&lt;C31,"Not Met","Met"))</f>
        <v>Not 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0.97435897435897401</v>
      </c>
      <c r="H34" s="66" t="s">
        <v>1</v>
      </c>
      <c r="I34" s="11" t="str">
        <f>IF(OR(G34="NA",G34="**"),"NA",IF(G34&lt;C34,"Not Met","Met"))</f>
        <v>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0.12953367875647701</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4.5112781954887202E-2</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0.49549549549549499</v>
      </c>
      <c r="H43" s="66" t="s">
        <v>1</v>
      </c>
      <c r="I43" s="11" t="str">
        <f>IF(OR(G43="NA",G43="**"),"NA",IF(G43&lt;C43,"Not Met","Met"))</f>
        <v>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0.13020833333333301</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2.2556390977443601E-2</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0.25342465753424698</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0.5</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0.133333333333333</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0.5</v>
      </c>
      <c r="H61" s="66" t="s">
        <v>1</v>
      </c>
      <c r="I61" s="11" t="str">
        <f>IF(OR(G61="NA",G61="**"),"NA",IF(G61&lt;C61,"Not Met","Met"))</f>
        <v>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0.2</v>
      </c>
      <c r="H64" s="66" t="s">
        <v>1</v>
      </c>
      <c r="I64" s="11" t="str">
        <f>IF(OR(G64="NA",G64="**"),"NA",IF(G64&lt;C64,"Not Met","Met"))</f>
        <v>Not 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0.133333333333333</v>
      </c>
      <c r="H67" s="66" t="s">
        <v>1</v>
      </c>
      <c r="I67" s="11" t="str">
        <f>IF(OR(G67="NA",G67="**"),"NA",IF(G67&lt;C67,"Not Met","Met"))</f>
        <v>Not 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0.16666666666666699</v>
      </c>
      <c r="H70" s="66" t="s">
        <v>1</v>
      </c>
      <c r="I70" s="11" t="str">
        <f>IF(OR(G70="NA",G70="**"),"NA",IF(G70&lt;C70,"Not Met","Met"))</f>
        <v>Not 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0.28469757918507399</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0.35138228923897902</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0.30018018018018</v>
      </c>
      <c r="H79" s="66" t="s">
        <v>1</v>
      </c>
      <c r="I79" s="11" t="str">
        <f>IF(OR(G79="NA",G79="**"),"NA",IF(G79&gt;C79,"Not Met","Met"))</f>
        <v>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0.26419370229007599</v>
      </c>
      <c r="H82" s="66" t="s">
        <v>1</v>
      </c>
      <c r="I82" s="11" t="str">
        <f>IF(OR(G82="NA",G82="**"),"NA",IF(G82&gt;C82,"Not Met","Met"))</f>
        <v>Not 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0.215694975142775</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0.44003729316243101</v>
      </c>
      <c r="H88" s="66" t="s">
        <v>1</v>
      </c>
      <c r="I88" s="11" t="str">
        <f>IF(OR(G88="NA",G88="**"),"NA",IF(G88&gt;C88,"Not Met","Met"))</f>
        <v>Not 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0.69979999999999998</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0.19900000000000001</v>
      </c>
      <c r="H102" s="66" t="s">
        <v>1</v>
      </c>
      <c r="I102" s="11" t="str">
        <f>IF(OR(G102="NA",G102="**"),"NA",IF(G102&gt;C102,"Not Met","Met"))</f>
        <v>Not 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1.41E-2</v>
      </c>
      <c r="H105" s="66" t="s">
        <v>1</v>
      </c>
      <c r="I105" s="11" t="str">
        <f>IF(OR(G105="NA",G105="**"),"NA",IF(G105&gt;C105,"Not Met","Met"))</f>
        <v>Not 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0.88890000000000002</v>
      </c>
      <c r="H109" s="66" t="s">
        <v>1</v>
      </c>
      <c r="I109" s="11" t="str">
        <f>IF(OR(G109="NA",G109="**"),"NA",IF(G109&lt;C109,"Not Met","Met"))</f>
        <v>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2.7799999999999998E-2</v>
      </c>
      <c r="H112" s="66" t="s">
        <v>1</v>
      </c>
      <c r="I112" s="11" t="str">
        <f t="shared" ref="I112:I180" si="3">IF(OR(G112="NA",G112="**"),"NA",IF(G112&lt;C112,"Not Met","Met"))</f>
        <v>Not 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0.81820000000000004</v>
      </c>
      <c r="H115" s="66" t="s">
        <v>1</v>
      </c>
      <c r="I115" s="11" t="str">
        <f t="shared" si="3"/>
        <v>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0.84619999999999995</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5.7700000000000001E-2</v>
      </c>
      <c r="H121" s="66" t="s">
        <v>1</v>
      </c>
      <c r="I121" s="11" t="str">
        <f>IF(OR(G121="NA",G121="**"),"NA",IF(G121&gt;C121,"Not Met","Met"))</f>
        <v>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0</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0</v>
      </c>
      <c r="H127" s="66" t="s">
        <v>1</v>
      </c>
      <c r="I127" s="11" t="str">
        <f>IF(OR(G127="NA",G127="**"),"NA",IF(G127&gt;C127,"Not Met","Met"))</f>
        <v>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0</v>
      </c>
      <c r="H130" s="66" t="s">
        <v>1</v>
      </c>
      <c r="I130" s="11" t="str">
        <f>IF(OR(G130="NA",G130="**"),"NA",IF(G130&gt;C130,"Not Met","Met"))</f>
        <v>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f>VLOOKUP(A3,'Old Data'!A1:CM88,74,FALSE)</f>
        <v>0</v>
      </c>
      <c r="H133" s="66" t="s">
        <v>1</v>
      </c>
      <c r="I133" s="11" t="str">
        <f>IF(OR(G133="NA",G133="**"),"NA",IF(G133&gt;C133,"Not Met","Met"))</f>
        <v>Met</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0.86</v>
      </c>
      <c r="H138" s="66" t="s">
        <v>1</v>
      </c>
      <c r="I138" s="11" t="str">
        <f t="shared" si="3"/>
        <v>Not 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0.59460000000000002</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0.80210000000000004</v>
      </c>
      <c r="H146" s="66" t="s">
        <v>1</v>
      </c>
      <c r="I146" s="11" t="str">
        <f t="shared" si="3"/>
        <v>Not 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0.58560000000000001</v>
      </c>
      <c r="H150" s="66" t="s">
        <v>1</v>
      </c>
      <c r="I150" s="11" t="str">
        <f t="shared" si="3"/>
        <v>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0.86460000000000004</v>
      </c>
      <c r="H154" s="66" t="s">
        <v>1</v>
      </c>
      <c r="I154" s="11" t="str">
        <f t="shared" si="3"/>
        <v>Not 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0.69369999999999998</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0.33329999999999999</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0.76190000000000002</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0.76190000000000002</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eGLqemUaO6xKLWp+6kYwtz+r1XuOmRk1klBFKVHUgpB08Yl1n+NSC431aj0hO5aQU3cYsMHaTEcnquEStWv7rA==" saltValue="gI1XqdSfY2SCVdJwvZnnzA=="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91</v>
      </c>
      <c r="B3" s="36"/>
      <c r="C3" s="36"/>
      <c r="D3" s="36"/>
      <c r="E3" s="36"/>
      <c r="F3" s="36"/>
      <c r="G3" s="36"/>
      <c r="H3" s="10"/>
      <c r="I3" s="10"/>
      <c r="J3" s="10"/>
    </row>
    <row r="4" spans="1:10" x14ac:dyDescent="0.2">
      <c r="A4" s="9" t="str">
        <f>VLOOKUP(A3,Data!A1:AQ88,2,FALSE)</f>
        <v>1390 Cavalier Way</v>
      </c>
    </row>
    <row r="5" spans="1:10" x14ac:dyDescent="0.2">
      <c r="A5" s="9" t="str">
        <f>VLOOKUP(A3,Data!A1:AQ88,3,FALSE)</f>
        <v>Roebuck</v>
      </c>
      <c r="C5" s="12" t="str">
        <f>VLOOKUP(A3,Data!A1:AQ88,4,FALSE)</f>
        <v>SC</v>
      </c>
      <c r="D5" s="12">
        <f>VLOOKUP(A3,Data!A1:AQ88,5,FALSE)</f>
        <v>29376</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18</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2</v>
      </c>
      <c r="C30" s="92" t="str">
        <f>IF(B30=0,"Does not meet prior year’s state performance and did not improve",
IF(B30=1,"Does not meet prior year’s state performance but improved since last year",
IF(B30=2,"Meets or exceeds prior year’s state performance",
IF(B30=3,"Meets or exceeds current state target",""))))</f>
        <v>Meets or exceeds prior year’s state performance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0.58819999999999995</v>
      </c>
      <c r="E34" s="23"/>
      <c r="F34" s="23"/>
      <c r="G34" s="23"/>
      <c r="H34" s="23"/>
      <c r="I34" s="23"/>
      <c r="J34" s="23"/>
    </row>
    <row r="35" spans="1:10" ht="11.25" customHeight="1" x14ac:dyDescent="0.2">
      <c r="A35" s="19"/>
      <c r="B35" s="43" t="s">
        <v>466</v>
      </c>
      <c r="C35" s="56">
        <f>VLOOKUP(A3,Data!A1:AQ88,17,FALSE)</f>
        <v>0.64559999999999995</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0.5</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but improved since last year</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0.13159999999999999</v>
      </c>
      <c r="E42" s="23"/>
      <c r="F42" s="23"/>
      <c r="G42" s="23"/>
      <c r="H42" s="23"/>
      <c r="I42" s="23"/>
      <c r="J42" s="23"/>
    </row>
    <row r="43" spans="1:10" ht="11.25" customHeight="1" x14ac:dyDescent="0.2">
      <c r="A43" s="19"/>
      <c r="B43" s="43" t="s">
        <v>466</v>
      </c>
      <c r="C43" s="56">
        <f>VLOOKUP(A3,Data!A1:AQ88,20,FALSE)</f>
        <v>0.14069999999999999</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0.5</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but improved since last year</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2.4E-2</v>
      </c>
      <c r="E50" s="23"/>
      <c r="F50" s="23"/>
      <c r="G50" s="23"/>
      <c r="H50" s="23"/>
      <c r="I50" s="23"/>
      <c r="J50" s="23"/>
    </row>
    <row r="51" spans="1:10" ht="11.25" customHeight="1" x14ac:dyDescent="0.2">
      <c r="A51" s="19"/>
      <c r="B51" s="43" t="s">
        <v>466</v>
      </c>
      <c r="C51" s="56">
        <f>VLOOKUP(A3,Data!A1:AQ88,23,FALSE)</f>
        <v>5.4100000000000002E-2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0.5</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but improved since last year</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0.1053</v>
      </c>
      <c r="E58" s="23"/>
      <c r="F58" s="23"/>
      <c r="G58" s="23"/>
      <c r="H58" s="23"/>
      <c r="I58" s="23"/>
      <c r="J58" s="23"/>
    </row>
    <row r="59" spans="1:10" ht="11.25" customHeight="1" x14ac:dyDescent="0.2">
      <c r="A59" s="19"/>
      <c r="B59" s="43" t="s">
        <v>466</v>
      </c>
      <c r="C59" s="56">
        <f>VLOOKUP(A3,Data!A1:AQ88,26,FALSE)</f>
        <v>0.13200000000000001</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0.5</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but improved since last year</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1.6500000000000001E-2</v>
      </c>
      <c r="E66" s="23"/>
      <c r="F66" s="23"/>
      <c r="G66" s="23"/>
      <c r="H66" s="23"/>
      <c r="I66" s="23"/>
      <c r="J66" s="23"/>
    </row>
    <row r="67" spans="1:10" ht="11.25" customHeight="1" x14ac:dyDescent="0.2">
      <c r="A67" s="19"/>
      <c r="B67" s="43" t="s">
        <v>466</v>
      </c>
      <c r="C67" s="56">
        <f>VLOOKUP(A3,Data!A1:AQ88,29,FALSE)</f>
        <v>3.3799999999999997E-2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2</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prior year’s state performance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0.67569999999999997</v>
      </c>
      <c r="E74" s="23"/>
      <c r="F74" s="23"/>
      <c r="G74" s="23"/>
      <c r="H74" s="23"/>
      <c r="I74" s="23"/>
      <c r="J74" s="23"/>
    </row>
    <row r="75" spans="1:10" ht="11.25" customHeight="1" x14ac:dyDescent="0.2">
      <c r="A75" s="19"/>
      <c r="B75" s="43" t="s">
        <v>466</v>
      </c>
      <c r="C75" s="56">
        <f>VLOOKUP(A3,Data!A1:AQ88,32,FALSE)</f>
        <v>0.69979999999999998</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9.2700000000000005E-2</v>
      </c>
      <c r="E90" s="23"/>
      <c r="F90" s="23"/>
      <c r="G90" s="23"/>
      <c r="H90" s="23"/>
      <c r="I90" s="23"/>
      <c r="J90" s="23"/>
    </row>
    <row r="91" spans="1:10" ht="11.25" customHeight="1" x14ac:dyDescent="0.2">
      <c r="A91" s="19"/>
      <c r="B91" s="43" t="s">
        <v>466</v>
      </c>
      <c r="C91" s="56">
        <f>VLOOKUP(A3,Data!A1:AQ88,38,FALSE)</f>
        <v>0.15809999999999999</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1</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but improved since last year</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0.151</v>
      </c>
      <c r="E98" s="23"/>
      <c r="F98" s="23"/>
      <c r="G98" s="23"/>
      <c r="H98" s="23"/>
      <c r="I98" s="23"/>
      <c r="J98" s="23"/>
    </row>
    <row r="99" spans="1:10" ht="11.25" customHeight="1" x14ac:dyDescent="0.2">
      <c r="A99" s="19"/>
      <c r="B99" s="43" t="s">
        <v>466</v>
      </c>
      <c r="C99" s="56">
        <f>VLOOKUP(A3,Data!A1:AQ88,41,FALSE)</f>
        <v>0.28699999999999998</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10</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18</v>
      </c>
      <c r="B104" s="99">
        <f>B101</f>
        <v>10</v>
      </c>
      <c r="C104" s="63">
        <f>VLOOKUP(A3,Data!A1:AQ88,42,FALSE)</f>
        <v>1</v>
      </c>
      <c r="D104" s="99">
        <f>SUM(A104:C104)</f>
        <v>29</v>
      </c>
      <c r="E104" s="63">
        <f>VLOOKUP(A3,Data!A1:AQ88,43,FALSE)</f>
        <v>40</v>
      </c>
      <c r="F104" s="33">
        <f>D104/E104</f>
        <v>0.72499999999999998</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rtJt3aeVFsSngQnHJ47N/dEaF38k3k3t0TGluPbJytMkOHpNjSo6bdf2GZv9z963XwWHUip5iA6Wp5UuRiEMkw==" saltValue="wa5nmi6t5dU2XCtnngnoI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2023-09-06T13:29:14Z</dcterms:modified>
</cp:coreProperties>
</file>