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DD27D62F-09A8-461B-878A-859648EBB80C}" xr6:coauthVersionLast="47" xr6:coauthVersionMax="47" xr10:uidLastSave="{00000000-0000-0000-0000-000000000000}"/>
  <workbookProtection workbookAlgorithmName="SHA-512" workbookHashValue="r6SmsOdKe6u7yC78rFs3Ul0l4PmmmE0ewmmVJiS6c3gm8auzppXVdpUqTeaLQy2qGu7fcqW2ZqIC6u2XVigEqg==" workbookSaltValue="foYKbdeGV/8Jb8Z7/acVM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<sst xmlns="http://schemas.openxmlformats.org/spreadsheetml/2006/main" count="2581" uniqueCount="605">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</sst>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0.8448</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0.23330000000000001</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0.88239999999999996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0.85709999999999997</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0.48330000000000001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0.93330000000000002</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0.97826086956521696</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0.93617021276595702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0.88082901554404103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0.95744680851063801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0.85306122448979604</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0.104294478527607</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3.7037037037037E-2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0.31818181818181801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7.9268292682926803E-2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1.20481927710843E-2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9.3264248704663197E-2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0.11764705882352899</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0.57142857142857095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6.6666666666666693E-2</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0.14285714285714299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0.25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0.197610283377155</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0.296901256973852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0.42441077441077402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0.15047431932851299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0.120863199633979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0.88639999999999997</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0.177369148608197</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0.45879999999999999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0.1135</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0.26469999999999999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0.64710000000000001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0.67649999999999999</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0.3836</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0.50680000000000003</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1.5299999999999999E-2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0.98351648351648302</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7.7399999999999997E-2</c:v>
                </c:pt>
                <c:pt idx="3">
                  <c:v>0.1056</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0.50680000000000003</c:v>
                </c:pt>
                <c:pt idx="3">
                  <c:v>0.42859999999999998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6.3299999999999995E-2</c:v>
                </c:pt>
                <c:pt idx="3">
                  <c:v>7.8200000000000006E-2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0.4798</c:v>
                </c:pt>
                <c:pt idx="3">
                  <c:v>0.45879999999999999</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3.8300000000000001E-2</c:v>
                </c:pt>
                <c:pt idx="3">
                  <c:v>0.21579999999999999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6.6000000000000003E-2</c:v>
                </c:pt>
                <c:pt idx="3">
                  <c:v>0.127</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8.5999999999999993E-2</c:v>
                </c:pt>
                <c:pt idx="3">
                  <c:v>7.9500000000000001E-2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8.3299999999999999E-2</c:v>
                </c:pt>
                <c:pt idx="3">
                  <c:v>2.2200000000000001E-2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0.125</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0.8246</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93</v>
      </c>
      <c r="B3" s="36"/>
      <c r="C3" s="36"/>
      <c r="D3" s="36"/>
      <c r="E3" s="36"/>
      <c r="F3" s="36"/>
      <c r="G3" s="36"/>
      <c r="H3" s="36"/>
      <c r="I3" s="36"/>
      <c r="J3" s="36"/>
      <c r="K3" s="36"/>
      <c r="L3" s="36"/>
      <c r="M3" s="36"/>
      <c r="N3" s="36"/>
      <c r="O3" s="10"/>
    </row>
    <row r="4" spans="1:20" s="9" customFormat="1" ht="11.25" x14ac:dyDescent="0.2">
      <c r="A4" s="9" t="str">
        <f>+VLOOKUP(A3,'Old Data'!A1:CM88,2,FALSE)</f>
        <v xml:space="preserve">1345 Wilson Hall Road </v>
      </c>
      <c r="C4" s="12"/>
      <c r="E4" s="12"/>
      <c r="F4" s="12"/>
    </row>
    <row r="5" spans="1:20" s="9" customFormat="1" ht="11.25" x14ac:dyDescent="0.2">
      <c r="A5" s="9" t="str">
        <f>+VLOOKUP(A3,'Old Data'!A1:CM88,3,FALSE)</f>
        <v xml:space="preserve">Sumter </v>
      </c>
      <c r="C5" s="12"/>
      <c r="E5" s="12"/>
      <c r="F5" s="12"/>
      <c r="G5" s="12" t="str">
        <f>+VLOOKUP(A3,'Old Data'!A1:CM88,4,FALSE)</f>
        <v>SC</v>
      </c>
      <c r="H5" s="12"/>
      <c r="I5" s="12">
        <f>+VLOOKUP(A3,'Old Data'!A1:CM88,5,FALSE)</f>
        <v>29150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0.50680000000000003</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0.3836</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0.97826086956521696</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0.93617021276595702</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0.88082901554404103</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0.98351648351648302</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0.95744680851063801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0.85306122448979604</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0.104294478527607</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3.7037037037037E-2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0.31818181818181801</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7.9268292682926803E-2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1.20481927710843E-2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9.3264248704663197E-2</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0.11764705882352899</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0.57142857142857095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0.5</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6.6666666666666693E-2</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0.14285714285714299</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0.25</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0.197610283377155</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0.296901256973852</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0.42441077441077402</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0.15047431932851299</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0.120863199633979</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0.177369148608197</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0.45879999999999999</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0.1135</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1.5299999999999999E-2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0.85709999999999997</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0.88639999999999997</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0.125</v>
      </c>
      <c r="H133" s="66" t="s">
        <v>1</v>
      </c>
      <c r="I133" s="11" t="str">
        <f>IF(OR(G133="NA",G133="**"),"NA",IF(G133&gt;C133,"Not Met","Met"))</f>
        <v>Not 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0.8246</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0.8448</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0.23330000000000001</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0.88239999999999996</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0.48330000000000001</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0.93330000000000002</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t="str">
        <f>VLOOKUP(A3,'Old Data'!A1:CM88,85,FALSE)</f>
        <v>NA</v>
      </c>
      <c r="H180" s="66" t="s">
        <v>1</v>
      </c>
      <c r="I180" s="11" t="str">
        <f t="shared" si="3"/>
        <v>NA</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0.26469999999999999</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0.64710000000000001</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0.67649999999999999</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IrUH22WnZjxruTmZWrgAFPq3aM8zI/tHvoZTbI1l0Ou+QIvoHW5pZE/k8JGMRkIfO7H1tmgqg5qJwwIZgQ9N4Q==" saltValue="BbENLdvmceMAX7uHpiRck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93</v>
      </c>
      <c r="B3" s="36"/>
      <c r="C3" s="36"/>
      <c r="D3" s="36"/>
      <c r="E3" s="36"/>
      <c r="F3" s="36"/>
      <c r="G3" s="36"/>
      <c r="H3" s="10"/>
      <c r="I3" s="10"/>
      <c r="J3" s="10"/>
    </row>
    <row r="4" spans="1:10" x14ac:dyDescent="0.2">
      <c r="A4" s="9" t="str">
        <f>VLOOKUP(A3,Data!A1:AQ88,2,FALSE)</f>
        <v xml:space="preserve">1345 Wilson Hall Road </v>
      </c>
    </row>
    <row r="5" spans="1:10" x14ac:dyDescent="0.2">
      <c r="A5" s="9" t="str">
        <f>VLOOKUP(A3,Data!A1:AQ88,3,FALSE)</f>
        <v xml:space="preserve">Sumter </v>
      </c>
      <c r="C5" s="12" t="str">
        <f>VLOOKUP(A3,Data!A1:AQ88,4,FALSE)</f>
        <v>SC</v>
      </c>
      <c r="D5" s="12">
        <f>VLOOKUP(A3,Data!A1:AQ88,5,FALSE)</f>
        <v>29150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1</v>
      </c>
      <c r="C14" s="94" t="str">
        <f>IF(B14=0,"2 or more consecutive years of findings of non-compliance (current year and previous year(s))",
IF(B14=1,"Findings of non-compliance in the current year",
IF(B14=2,"No findings of non-compliance","")))</f>
        <v>Findings of non-compliance in the current year</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0.50680000000000003</v>
      </c>
      <c r="E34" s="23"/>
      <c r="F34" s="23"/>
      <c r="G34" s="23"/>
      <c r="H34" s="23"/>
      <c r="I34" s="23"/>
      <c r="J34" s="23"/>
    </row>
    <row r="35" spans="1:10" ht="11.25" customHeight="1" x14ac:dyDescent="0.2">
      <c r="A35" s="19"/>
      <c r="B35" s="43" t="s">
        <v>466</v>
      </c>
      <c r="C35" s="56">
        <f>VLOOKUP(A3,Data!A1:AQ88,17,FALSE)</f>
        <v>0.42859999999999998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7.7399999999999997E-2</v>
      </c>
      <c r="E42" s="23"/>
      <c r="F42" s="23"/>
      <c r="G42" s="23"/>
      <c r="H42" s="23"/>
      <c r="I42" s="23"/>
      <c r="J42" s="23"/>
    </row>
    <row r="43" spans="1:10" ht="11.25" customHeight="1" x14ac:dyDescent="0.2">
      <c r="A43" s="19"/>
      <c r="B43" s="43" t="s">
        <v>466</v>
      </c>
      <c r="C43" s="56">
        <f>VLOOKUP(A3,Data!A1:AQ88,20,FALSE)</f>
        <v>0.1056</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8.5999999999999993E-2</v>
      </c>
      <c r="E50" s="23"/>
      <c r="F50" s="23"/>
      <c r="G50" s="23"/>
      <c r="H50" s="23"/>
      <c r="I50" s="23"/>
      <c r="J50" s="23"/>
    </row>
    <row r="51" spans="1:10" ht="11.25" customHeight="1" x14ac:dyDescent="0.2">
      <c r="A51" s="19"/>
      <c r="B51" s="43" t="s">
        <v>466</v>
      </c>
      <c r="C51" s="56">
        <f>VLOOKUP(A3,Data!A1:AQ88,23,FALSE)</f>
        <v>7.9500000000000001E-2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6.3299999999999995E-2</v>
      </c>
      <c r="E58" s="23"/>
      <c r="F58" s="23"/>
      <c r="G58" s="23"/>
      <c r="H58" s="23"/>
      <c r="I58" s="23"/>
      <c r="J58" s="23"/>
    </row>
    <row r="59" spans="1:10" ht="11.25" customHeight="1" x14ac:dyDescent="0.2">
      <c r="A59" s="19"/>
      <c r="B59" s="43" t="s">
        <v>466</v>
      </c>
      <c r="C59" s="56">
        <f>VLOOKUP(A3,Data!A1:AQ88,26,FALSE)</f>
        <v>7.8200000000000006E-2</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8.3299999999999999E-2</v>
      </c>
      <c r="E66" s="23"/>
      <c r="F66" s="23"/>
      <c r="G66" s="23"/>
      <c r="H66" s="23"/>
      <c r="I66" s="23"/>
      <c r="J66" s="23"/>
    </row>
    <row r="67" spans="1:10" ht="11.25" customHeight="1" x14ac:dyDescent="0.2">
      <c r="A67" s="19"/>
      <c r="B67" s="43" t="s">
        <v>466</v>
      </c>
      <c r="C67" s="56">
        <f>VLOOKUP(A3,Data!A1:AQ88,29,FALSE)</f>
        <v>2.2200000000000001E-2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0.4798</v>
      </c>
      <c r="E74" s="23"/>
      <c r="F74" s="23"/>
      <c r="G74" s="23"/>
      <c r="H74" s="23"/>
      <c r="I74" s="23"/>
      <c r="J74" s="23"/>
    </row>
    <row r="75" spans="1:10" ht="11.25" customHeight="1" x14ac:dyDescent="0.2">
      <c r="A75" s="19"/>
      <c r="B75" s="43" t="s">
        <v>466</v>
      </c>
      <c r="C75" s="56">
        <f>VLOOKUP(A3,Data!A1:AQ88,32,FALSE)</f>
        <v>0.45879999999999999</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3.8300000000000001E-2</v>
      </c>
      <c r="E90" s="23"/>
      <c r="F90" s="23"/>
      <c r="G90" s="23"/>
      <c r="H90" s="23"/>
      <c r="I90" s="23"/>
      <c r="J90" s="23"/>
    </row>
    <row r="91" spans="1:10" ht="11.25" customHeight="1" x14ac:dyDescent="0.2">
      <c r="A91" s="19"/>
      <c r="B91" s="43" t="s">
        <v>466</v>
      </c>
      <c r="C91" s="56">
        <f>VLOOKUP(A3,Data!A1:AQ88,38,FALSE)</f>
        <v>0.21579999999999999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6.6000000000000003E-2</v>
      </c>
      <c r="E98" s="23"/>
      <c r="F98" s="23"/>
      <c r="G98" s="23"/>
      <c r="H98" s="23"/>
      <c r="I98" s="23"/>
      <c r="J98" s="23"/>
    </row>
    <row r="99" spans="1:10" ht="11.25" customHeight="1" x14ac:dyDescent="0.2">
      <c r="A99" s="19"/>
      <c r="B99" s="43" t="s">
        <v>466</v>
      </c>
      <c r="C99" s="56">
        <f>VLOOKUP(A3,Data!A1:AQ88,41,FALSE)</f>
        <v>0.127</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5</v>
      </c>
      <c r="C104" s="63">
        <f>VLOOKUP(A3,Data!A1:AQ88,42,FALSE)</f>
        <v>1</v>
      </c>
      <c r="D104" s="99">
        <f>SUM(A104:C104)</f>
        <v>23</v>
      </c>
      <c r="E104" s="63">
        <f>VLOOKUP(A3,Data!A1:AQ88,43,FALSE)</f>
        <v>40</v>
      </c>
      <c r="F104" s="33">
        <f>D104/E104</f>
        <v>0.57499999999999996</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Io8Z5On8xV907gVw3HrP8Y0fd6Pg+CbD2SYSzgYqsqqHWuAPhQBRoD88qqc37CBpS6DRvLTp/gCDfZ5/Xxk4Yg==" saltValue="RcxCB3fdziUDN31w54OXbg=="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2023-09-06T13:29:16Z</dcterms:modified>
</cp:coreProperties>
</file>