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6E1FB527-25E3-457F-81B3-E09BB3278B1C}" xr6:coauthVersionLast="47" xr6:coauthVersionMax="47" xr10:uidLastSave="{00000000-0000-0000-0000-000000000000}"/>
  <workbookProtection workbookAlgorithmName="SHA-512" workbookHashValue="FBG6W5msppRTrs3ZnNqzxcHVLl34pVdP/KmA9fzrKFMlWEM0OEBUZyF//UaQo/aUBXRgXDMf3u3OLkkHATN5+g==" workbookSaltValue="3v32x9yFhoQBHY1IFWd07A=="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<sst xmlns="http://schemas.openxmlformats.org/spreadsheetml/2006/main" count="2581" uniqueCount="605">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</sst>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0.85709999999999997</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0.58819999999999995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0.52939999999999998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0.82350000000000001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0.98076923076923095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0.87878787878787901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0.98076923076923095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0.85365853658536595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3.7037037037037E-2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0.12765957446808501</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0.52631578947368396</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3.7037037037037E-2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0.16129032258064499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0.42857142857142899</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0.1</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0.28571428571428598</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0.75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0.23882503192848001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0.18791419602371801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0.35789473684210499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0.12552453931764301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8.5020242914979796E-2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0.206709677419355</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0.57679999999999998</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0.10299999999999999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0.4</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0.4</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0.4</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0.25</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5.2400000000000002E-2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9.6799999999999997E-2</c:v>
                </c:pt>
                <c:pt idx="3">
                  <c:v>0.1176</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c:v>
                </c:pt>
                <c:pt idx="3">
                  <c:v>0.86670000000000003</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2.86E-2</c:v>
                </c:pt>
                <c:pt idx="3">
                  <c:v>8.8200000000000001E-2</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0.60980000000000001</c:v>
                </c:pt>
                <c:pt idx="3">
                  <c:v>0.57679999999999998</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9.2299999999999993E-2</c:v>
                </c:pt>
                <c:pt idx="3">
                  <c:v>0.1205</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5.7000000000000002E-2</c:v>
                </c:pt>
                <c:pt idx="3">
                  <c:v>0.125</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3.5700000000000003E-2</c:v>
                </c:pt>
                <c:pt idx="3">
                  <c:v>0.15690000000000001</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6.4500000000000002E-2</c:v>
                </c:pt>
                <c:pt idx="3">
                  <c:v>5.8799999999999998E-2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0.93330000000000002</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95</v>
      </c>
      <c r="B3" s="36"/>
      <c r="C3" s="36"/>
      <c r="D3" s="36"/>
      <c r="E3" s="36"/>
      <c r="F3" s="36"/>
      <c r="G3" s="36"/>
      <c r="H3" s="36"/>
      <c r="I3" s="36"/>
      <c r="J3" s="36"/>
      <c r="K3" s="36"/>
      <c r="L3" s="36"/>
      <c r="M3" s="36"/>
      <c r="N3" s="36"/>
      <c r="O3" s="10"/>
    </row>
    <row r="4" spans="1:20" s="9" customFormat="1" ht="11.25" x14ac:dyDescent="0.2">
      <c r="A4" s="9" t="str">
        <f>+VLOOKUP(A3,'Old Data'!A1:CM88,2,FALSE)</f>
        <v>500 North Academy Street</v>
      </c>
      <c r="C4" s="12"/>
      <c r="E4" s="12"/>
      <c r="F4" s="12"/>
    </row>
    <row r="5" spans="1:20" s="9" customFormat="1" ht="11.25" x14ac:dyDescent="0.2">
      <c r="A5" s="9" t="str">
        <f>+VLOOKUP(A3,'Old Data'!A1:CM88,3,FALSE)</f>
        <v>Kingstree</v>
      </c>
      <c r="C5" s="12"/>
      <c r="E5" s="12"/>
      <c r="F5" s="12"/>
      <c r="G5" s="12" t="str">
        <f>+VLOOKUP(A3,'Old Data'!A1:CM88,4,FALSE)</f>
        <v>SC</v>
      </c>
      <c r="H5" s="12"/>
      <c r="I5" s="12">
        <f>+VLOOKUP(A3,'Old Data'!A1:CM88,5,FALSE)</f>
        <v>29556</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0.25</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0.98076923076923095</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0.87878787878787901</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0.98076923076923095</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0.85365853658536595</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3.7037037037037E-2</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0.12765957446808501</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0.52631578947368396</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3.7037037037037E-2</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0.16129032258064499</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0.42857142857142899</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0.5</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0.1</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0.28571428571428598</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0.75</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0.5</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0.23882503192848001</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0.18791419602371801</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0.35789473684210499</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0.12552453931764301</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8.5020242914979796E-2</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0.206709677419355</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Yes</v>
      </c>
      <c r="H92" s="66" t="s">
        <v>1</v>
      </c>
      <c r="I92" s="11" t="str">
        <f t="shared" ref="I92" si="1">IF(OR(G92="NA",G92="**"),"NA",IF(G92="No","Met",IF(G92="Yes","Not Met")))</f>
        <v>Not 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Yes</v>
      </c>
      <c r="H95" s="66" t="s">
        <v>1</v>
      </c>
      <c r="I95" s="11" t="str">
        <f>IF(OR(G95="NA",G95="**"),"NA",IF(G95="No","Met",IF(G95="Yes","Not Met")))</f>
        <v>Not 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0.57679999999999998</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0.10299999999999999</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5.2400000000000002E-2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0.85709999999999997</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1</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1</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0.93330000000000002</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0.58819999999999995</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1</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0.52939999999999998</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0.82350000000000001</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0.4</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0.4</v>
      </c>
      <c r="H193" s="66" t="s">
        <v>1</v>
      </c>
      <c r="I193" s="11" t="str">
        <f>IF(OR(G193="NA",G193="**"),"NA",IF(G193&lt;C193,"Not Met","Met"))</f>
        <v>Not 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0.4</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lqRFri4U1zztjqMEhhdDVOZPEJY73fWhwkZ6yVF/6rA10CJgb6DZyFDPJKpIE0MUybncVCDw7QiOOs8yoVeJlg==" saltValue="Bnd87mJbc13P5GneYqzOi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95</v>
      </c>
      <c r="B3" s="36"/>
      <c r="C3" s="36"/>
      <c r="D3" s="36"/>
      <c r="E3" s="36"/>
      <c r="F3" s="36"/>
      <c r="G3" s="36"/>
      <c r="H3" s="10"/>
      <c r="I3" s="10"/>
      <c r="J3" s="10"/>
    </row>
    <row r="4" spans="1:10" x14ac:dyDescent="0.2">
      <c r="A4" s="9" t="str">
        <f>VLOOKUP(A3,Data!A1:AQ88,2,FALSE)</f>
        <v>500 North Academy Street</v>
      </c>
    </row>
    <row r="5" spans="1:10" x14ac:dyDescent="0.2">
      <c r="A5" s="9" t="str">
        <f>VLOOKUP(A3,Data!A1:AQ88,3,FALSE)</f>
        <v>Kingstree</v>
      </c>
      <c r="C5" s="12" t="str">
        <f>VLOOKUP(A3,Data!A1:AQ88,4,FALSE)</f>
        <v>SC</v>
      </c>
      <c r="D5" s="12">
        <f>VLOOKUP(A3,Data!A1:AQ88,5,FALSE)</f>
        <v>29556</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1</v>
      </c>
      <c r="C22" s="95" t="str">
        <f>IF(B22=0,"2 or more consecutive years of findings of non-compliance (current year and previous year(s))",
IF(B22=1,"Findings of non-compliance in the current year",
IF(B22=2,"No findings of non-compliance","")))</f>
        <v>Findings of non-compliance in the current year</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v>
      </c>
      <c r="E34" s="23"/>
      <c r="F34" s="23"/>
      <c r="G34" s="23"/>
      <c r="H34" s="23"/>
      <c r="I34" s="23"/>
      <c r="J34" s="23"/>
    </row>
    <row r="35" spans="1:10" ht="11.25" customHeight="1" x14ac:dyDescent="0.2">
      <c r="A35" s="19"/>
      <c r="B35" s="43" t="s">
        <v>466</v>
      </c>
      <c r="C35" s="56">
        <f>VLOOKUP(A3,Data!A1:AQ88,17,FALSE)</f>
        <v>0.86670000000000003</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9.6799999999999997E-2</v>
      </c>
      <c r="E42" s="23"/>
      <c r="F42" s="23"/>
      <c r="G42" s="23"/>
      <c r="H42" s="23"/>
      <c r="I42" s="23"/>
      <c r="J42" s="23"/>
    </row>
    <row r="43" spans="1:10" ht="11.25" customHeight="1" x14ac:dyDescent="0.2">
      <c r="A43" s="19"/>
      <c r="B43" s="43" t="s">
        <v>466</v>
      </c>
      <c r="C43" s="56">
        <f>VLOOKUP(A3,Data!A1:AQ88,20,FALSE)</f>
        <v>0.1176</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current state target</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3.5700000000000003E-2</v>
      </c>
      <c r="E50" s="23"/>
      <c r="F50" s="23"/>
      <c r="G50" s="23"/>
      <c r="H50" s="23"/>
      <c r="I50" s="23"/>
      <c r="J50" s="23"/>
    </row>
    <row r="51" spans="1:10" ht="11.25" customHeight="1" x14ac:dyDescent="0.2">
      <c r="A51" s="19"/>
      <c r="B51" s="43" t="s">
        <v>466</v>
      </c>
      <c r="C51" s="56">
        <f>VLOOKUP(A3,Data!A1:AQ88,23,FALSE)</f>
        <v>0.15690000000000001</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2.86E-2</v>
      </c>
      <c r="E58" s="23"/>
      <c r="F58" s="23"/>
      <c r="G58" s="23"/>
      <c r="H58" s="23"/>
      <c r="I58" s="23"/>
      <c r="J58" s="23"/>
    </row>
    <row r="59" spans="1:10" ht="11.25" customHeight="1" x14ac:dyDescent="0.2">
      <c r="A59" s="19"/>
      <c r="B59" s="43" t="s">
        <v>466</v>
      </c>
      <c r="C59" s="56">
        <f>VLOOKUP(A3,Data!A1:AQ88,26,FALSE)</f>
        <v>8.8200000000000001E-2</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6.4500000000000002E-2</v>
      </c>
      <c r="E66" s="23"/>
      <c r="F66" s="23"/>
      <c r="G66" s="23"/>
      <c r="H66" s="23"/>
      <c r="I66" s="23"/>
      <c r="J66" s="23"/>
    </row>
    <row r="67" spans="1:10" ht="11.25" customHeight="1" x14ac:dyDescent="0.2">
      <c r="A67" s="19"/>
      <c r="B67" s="43" t="s">
        <v>466</v>
      </c>
      <c r="C67" s="56">
        <f>VLOOKUP(A3,Data!A1:AQ88,29,FALSE)</f>
        <v>5.8799999999999998E-2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0.60980000000000001</v>
      </c>
      <c r="E74" s="23"/>
      <c r="F74" s="23"/>
      <c r="G74" s="23"/>
      <c r="H74" s="23"/>
      <c r="I74" s="23"/>
      <c r="J74" s="23"/>
    </row>
    <row r="75" spans="1:10" ht="11.25" customHeight="1" x14ac:dyDescent="0.2">
      <c r="A75" s="19"/>
      <c r="B75" s="43" t="s">
        <v>466</v>
      </c>
      <c r="C75" s="56">
        <f>VLOOKUP(A3,Data!A1:AQ88,32,FALSE)</f>
        <v>0.57679999999999998</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9.2299999999999993E-2</v>
      </c>
      <c r="E90" s="23"/>
      <c r="F90" s="23"/>
      <c r="G90" s="23"/>
      <c r="H90" s="23"/>
      <c r="I90" s="23"/>
      <c r="J90" s="23"/>
    </row>
    <row r="91" spans="1:10" ht="11.25" customHeight="1" x14ac:dyDescent="0.2">
      <c r="A91" s="19"/>
      <c r="B91" s="43" t="s">
        <v>466</v>
      </c>
      <c r="C91" s="56">
        <f>VLOOKUP(A3,Data!A1:AQ88,38,FALSE)</f>
        <v>0.1205</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5.7000000000000002E-2</v>
      </c>
      <c r="E98" s="23"/>
      <c r="F98" s="23"/>
      <c r="G98" s="23"/>
      <c r="H98" s="23"/>
      <c r="I98" s="23"/>
      <c r="J98" s="23"/>
    </row>
    <row r="99" spans="1:10" ht="11.25" customHeight="1" x14ac:dyDescent="0.2">
      <c r="A99" s="19"/>
      <c r="B99" s="43" t="s">
        <v>466</v>
      </c>
      <c r="C99" s="56">
        <f>VLOOKUP(A3,Data!A1:AQ88,41,FALSE)</f>
        <v>0.125</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11.5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11.5</v>
      </c>
      <c r="C104" s="63">
        <f>VLOOKUP(A3,Data!A1:AQ88,42,FALSE)</f>
        <v>1</v>
      </c>
      <c r="D104" s="99">
        <f>SUM(A104:C104)</f>
        <v>29.5</v>
      </c>
      <c r="E104" s="63">
        <f>VLOOKUP(A3,Data!A1:AQ88,43,FALSE)</f>
        <v>40</v>
      </c>
      <c r="F104" s="33">
        <f>D104/E104</f>
        <v>0.73750000000000004</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L335ZwFU8OcFNjpQ+IR+w+wB+RlFcXShjLrYs74p6vxDotGDfDft5lLG/+x2PMbnqcVGWYDyIdU03k+19/xJQg==" saltValue="DmlAx/6GE1qKhPHI2gxWX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2023-09-06T13:29:18Z</dcterms:modified>
</cp:coreProperties>
</file>