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4C53B2D8-F050-44B8-B8EF-1CF1A39AEE5A}" xr6:coauthVersionLast="47" xr6:coauthVersionMax="47" xr10:uidLastSave="{00000000-0000-0000-0000-000000000000}"/>
  <workbookProtection workbookAlgorithmName="SHA-512" workbookHashValue="16Rcj6QS7dVyA6XPkdHNPe4ol+aI9+jqaRkZXAAdSMKLNSHEpPUWna0T//4aSfWQtk3MOvv1p5lcJcGbtVSFfA==" workbookSaltValue="qC5eZX7yu4UIREiWjpt5mw=="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<sst xmlns="http://schemas.openxmlformats.org/spreadsheetml/2006/main" count="1777" uniqueCount="595">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</sst>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0.6</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0.8</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0.5</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0.90910000000000002</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0.16669999999999999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0.26319999999999999</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0.1</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0.15</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0.5</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1</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0.30909999999999999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0.3659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0.40670000000000001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0.28160000000000002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0.24390000000000001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0.51060000000000005</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0.38269999999999998</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0.25929999999999997</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0.66669999999999996</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0.66669999999999996</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0.66669999999999996</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1.23E-2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8.3299999999999999E-2</c:v>
                </c:pt>
                <c:pt idx="3">
                  <c:v>0.15790000000000001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0.66669999999999996</c:v>
                </c:pt>
                <c:pt idx="3">
                  <c:v>0.3</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4.1700000000000001E-2</c:v>
                </c:pt>
                <c:pt idx="3">
                  <c:v>0</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0.40429999999999999</c:v>
                </c:pt>
                <c:pt idx="3">
                  <c:v>0.38269999999999998</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0.8</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0.1583</c:v>
                </c:pt>
                <c:pt idx="3">
                  <c:v>0.21340000000000001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0.33300000000000002</c:v>
                </c:pt>
                <c:pt idx="3">
                  <c:v>0.16700000000000001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4.5499999999999999E-2</c:v>
                </c:pt>
                <c:pt idx="3">
                  <c:v>4.7600000000000003E-2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9.0899999999999995E-2</c:v>
                </c:pt>
                <c:pt idx="3">
                  <c:v>9.5200000000000007E-2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0.8</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0.7</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0.66669999999999996</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32</v>
      </c>
      <c r="B3" s="31"/>
      <c r="C3" s="31"/>
      <c r="D3" s="31"/>
      <c r="E3" s="31"/>
      <c r="F3" s="31"/>
      <c r="G3" s="31"/>
      <c r="H3" s="31"/>
      <c r="I3" s="31"/>
      <c r="J3" s="31"/>
      <c r="K3" s="31"/>
      <c r="L3" s="31"/>
      <c r="M3" s="31"/>
      <c r="N3" s="31"/>
      <c r="O3" s="5"/>
    </row>
    <row r="4" spans="1:20" s="4" customFormat="1" ht="11.25" x14ac:dyDescent="0.2">
      <c r="A4" s="4" t="str">
        <f>VLOOKUP(A3,Data!A:CN,2,FALSE)</f>
        <v>P.O. Box 215</v>
      </c>
      <c r="C4" s="7"/>
      <c r="E4" s="7"/>
      <c r="F4" s="7"/>
    </row>
    <row r="5" spans="1:20" s="4" customFormat="1" ht="11.25" x14ac:dyDescent="0.2">
      <c r="A5" s="4" t="str">
        <f>VLOOKUP(A3,Data!A:CN,3,FALSE)</f>
        <v>St. Matthews</v>
      </c>
      <c r="C5" s="7"/>
      <c r="E5" s="7"/>
      <c r="F5" s="7"/>
      <c r="G5" s="7" t="str">
        <f>VLOOKUP(A3,Data!A:CN,4,FALSE)</f>
        <v>SC</v>
      </c>
      <c r="H5" s="7"/>
      <c r="I5" s="7" t="str">
        <f>VLOOKUP(A3,Data!A:CN,5,FALSE)</f>
        <v>29135</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0.66669999999999996</v>
      </c>
      <c r="H11" s="55" t="s">
        <v>1</v>
      </c>
      <c r="I11" s="6" t="str">
        <f t="shared" ref="I11" si="0">IF(OR(G11="NA",G11="**"),"NA",IF(G11&lt;C11,"Not Met","Met"))</f>
        <v>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v>
      </c>
      <c r="H15" s="55" t="s">
        <v>1</v>
      </c>
      <c r="I15" s="6" t="str">
        <f>IF(OR(G15="NA",G15="**"),"NA",IF(G15&gt;C15,"Not Met","Met"))</f>
        <v>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1</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1</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1</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0.90910000000000002</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0.16669999999999999</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0.26319999999999999</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0.15</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0.5</v>
      </c>
      <c r="H58" s="55" t="s">
        <v>1</v>
      </c>
      <c r="I58" s="6" t="str">
        <f>IF(OR(G58="NA",G58="**"),"NA",IF(G58&lt;C58,"Not Met","Met"))</f>
        <v>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1</v>
      </c>
      <c r="H67" s="55" t="s">
        <v>1</v>
      </c>
      <c r="I67" s="6" t="str">
        <f>IF(OR(G67="NA",G67="**"),"NA",IF(G67&lt;C67,"Not Met","Met"))</f>
        <v>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0.30909999999999999</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0.3659</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0.40670000000000001</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0.28160000000000002</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0.24390000000000001</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0.51060000000000005</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Yes</v>
      </c>
      <c r="H95" s="55" t="s">
        <v>1</v>
      </c>
      <c r="I95" s="6" t="str">
        <f>IF(OR(G95="NA",G95="**"),"NA",IF(G95="No","Met",IF(G95="Yes","Not Met")))</f>
        <v>Not 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0.38269999999999998</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0.25929999999999997</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1.23E-2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0.6</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0.1</v>
      </c>
      <c r="H112" s="55" t="s">
        <v>1</v>
      </c>
      <c r="I112" s="6" t="str">
        <f>IF(OR(G112="NA",G112="**"),"NA",IF(G112&gt;C112,"Not Met","Met"))</f>
        <v>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1</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0.8</v>
      </c>
      <c r="H124" s="55" t="s">
        <v>1</v>
      </c>
      <c r="I124" s="6" t="str">
        <f t="shared" si="3"/>
        <v>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0.8</v>
      </c>
      <c r="H128" s="55" t="s">
        <v>1</v>
      </c>
      <c r="I128" s="6" t="str">
        <f t="shared" si="3"/>
        <v>Not 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0.7</v>
      </c>
      <c r="H132" s="55" t="s">
        <v>1</v>
      </c>
      <c r="I132" s="6" t="str">
        <f t="shared" si="3"/>
        <v>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0.66669999999999996</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0.8</v>
      </c>
      <c r="H140" s="55" t="s">
        <v>1</v>
      </c>
      <c r="I140" s="6" t="str">
        <f t="shared" si="3"/>
        <v>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0.5</v>
      </c>
      <c r="H144" s="55" t="s">
        <v>1</v>
      </c>
      <c r="I144" s="6" t="str">
        <f t="shared" ref="I144" si="4">IF(OR(G144="NA",G144="**"),"NA",IF(G144&lt;C144,"Not Met","Met"))</f>
        <v>Not 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v>
      </c>
      <c r="H171" s="55" t="s">
        <v>1</v>
      </c>
      <c r="I171" s="6" t="str">
        <f t="shared" ref="I171" si="6">IF(OR(G171="NA",G171="**"),"NA",IF(G171&lt;C171,"Not Met","Met"))</f>
        <v>Not 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0.66669999999999996</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0.66669999999999996</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4OrJQaF1ptLDHH5dolXH8OIzeIRpNmRvggpnC/QU+l/hwXLpLJ1o72S5B+vvmooVKk0F5dGIhe+MBOY9M5Supg==" saltValue="f7Xm3Qqy+iHVt7HJsL3PqA=="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32</v>
      </c>
      <c r="B3" s="31"/>
      <c r="C3" s="31"/>
      <c r="D3" s="31"/>
      <c r="E3" s="31"/>
      <c r="F3" s="31"/>
      <c r="G3" s="31"/>
      <c r="H3" s="5"/>
      <c r="I3" s="5"/>
      <c r="J3" s="5"/>
    </row>
    <row r="4" spans="1:10" x14ac:dyDescent="0.2">
      <c r="A4" s="4" t="str">
        <f>VLOOKUP(A3,Data!A:CN,2,FALSE)</f>
        <v>P.O. Box 215</v>
      </c>
    </row>
    <row r="5" spans="1:10" x14ac:dyDescent="0.2">
      <c r="A5" s="4" t="str">
        <f>VLOOKUP(A3,Data!A:CN,3,FALSE)</f>
        <v>St. Matthews</v>
      </c>
      <c r="C5" s="7" t="str">
        <f>VLOOKUP(A3,Data!A:CN,4,FALSE)</f>
        <v>SC</v>
      </c>
      <c r="D5" s="7" t="str">
        <f>VLOOKUP(A3,Data!A:CN,5,FALSE)</f>
        <v>29135</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1</v>
      </c>
      <c r="C22" s="76" t="str">
        <f>IF(B22=0,"2 or more consecutive years of findings of non-compliance (current year and previous year(s))",
IF(B22=1,"Findings of non-compliance in the current year",
IF(B22=2,"No findings of non-compliance","")))</f>
        <v>Findings of non-compliance in the current year</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17</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0</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and did not improve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0.66669999999999996</v>
      </c>
      <c r="E34" s="18"/>
      <c r="F34" s="18"/>
      <c r="G34" s="18"/>
      <c r="H34" s="18"/>
      <c r="I34" s="18"/>
      <c r="J34" s="18"/>
    </row>
    <row r="35" spans="1:10" ht="11.25" customHeight="1" x14ac:dyDescent="0.2">
      <c r="A35" s="14"/>
      <c r="B35" s="37" t="s">
        <v>451</v>
      </c>
      <c r="C35" s="50">
        <f>VLOOKUP(A3,Data!A:CN,66,FALSE)</f>
        <v>0.3</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but improved since last year</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8.3299999999999999E-2</v>
      </c>
      <c r="E42" s="18"/>
      <c r="F42" s="18"/>
      <c r="G42" s="18"/>
      <c r="H42" s="18"/>
      <c r="I42" s="18"/>
      <c r="J42" s="18"/>
    </row>
    <row r="43" spans="1:10" ht="11.25" customHeight="1" x14ac:dyDescent="0.2">
      <c r="A43" s="14"/>
      <c r="B43" s="37" t="s">
        <v>451</v>
      </c>
      <c r="C43" s="50">
        <f>VLOOKUP(A3,Data!A:CN,69,FALSE)</f>
        <v>0.15790000000000001</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4.5499999999999999E-2</v>
      </c>
      <c r="E50" s="18"/>
      <c r="F50" s="18"/>
      <c r="G50" s="18"/>
      <c r="H50" s="18"/>
      <c r="I50" s="18"/>
      <c r="J50" s="18"/>
    </row>
    <row r="51" spans="1:10" ht="11.25" customHeight="1" x14ac:dyDescent="0.2">
      <c r="A51" s="14"/>
      <c r="B51" s="37" t="s">
        <v>451</v>
      </c>
      <c r="C51" s="50">
        <f>VLOOKUP(A3,Data!A:CN,72,FALSE)</f>
        <v>4.7600000000000003E-2</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4.1700000000000001E-2</v>
      </c>
      <c r="E58" s="18"/>
      <c r="F58" s="18"/>
      <c r="G58" s="18"/>
      <c r="H58" s="18"/>
      <c r="I58" s="18"/>
      <c r="J58" s="18"/>
    </row>
    <row r="59" spans="1:10" ht="11.25" customHeight="1" x14ac:dyDescent="0.2">
      <c r="A59" s="14"/>
      <c r="B59" s="37" t="s">
        <v>451</v>
      </c>
      <c r="C59" s="50">
        <f>VLOOKUP(A3,Data!A:CN,75,FALSE)</f>
        <v>0</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1</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Meets or exceeds current year’s state performance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9.0899999999999995E-2</v>
      </c>
      <c r="E66" s="18"/>
      <c r="F66" s="18"/>
      <c r="G66" s="18"/>
      <c r="H66" s="18"/>
      <c r="I66" s="18"/>
      <c r="J66" s="18"/>
    </row>
    <row r="67" spans="1:10" ht="11.25" customHeight="1" x14ac:dyDescent="0.2">
      <c r="A67" s="14"/>
      <c r="B67" s="37" t="s">
        <v>451</v>
      </c>
      <c r="C67" s="50">
        <f>VLOOKUP(A3,Data!A:CN,78,FALSE)</f>
        <v>9.5200000000000007E-2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0</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and did not improve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0.40429999999999999</v>
      </c>
      <c r="E74" s="18"/>
      <c r="F74" s="18"/>
      <c r="G74" s="18"/>
      <c r="H74" s="18"/>
      <c r="I74" s="18"/>
      <c r="J74" s="18"/>
    </row>
    <row r="75" spans="1:10" ht="11.25" customHeight="1" x14ac:dyDescent="0.2">
      <c r="A75" s="14"/>
      <c r="B75" s="37" t="s">
        <v>451</v>
      </c>
      <c r="C75" s="50">
        <f>VLOOKUP(A3,Data!A:CN,81,FALSE)</f>
        <v>0.38269999999999998</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0</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and did not improve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0.1583</v>
      </c>
      <c r="E90" s="18"/>
      <c r="F90" s="18"/>
      <c r="G90" s="18"/>
      <c r="H90" s="18"/>
      <c r="I90" s="18"/>
      <c r="J90" s="18"/>
    </row>
    <row r="91" spans="1:10" ht="11.25" customHeight="1" x14ac:dyDescent="0.2">
      <c r="A91" s="14"/>
      <c r="B91" s="37" t="s">
        <v>451</v>
      </c>
      <c r="C91" s="50">
        <f>VLOOKUP(A3,Data!A:CN,87,FALSE)</f>
        <v>0.21340000000000001</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0</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and did not improve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0.33300000000000002</v>
      </c>
      <c r="E98" s="18"/>
      <c r="F98" s="18"/>
      <c r="G98" s="18"/>
      <c r="H98" s="18"/>
      <c r="I98" s="18"/>
      <c r="J98" s="18"/>
    </row>
    <row r="99" spans="1:10" ht="11.25" customHeight="1" x14ac:dyDescent="0.2">
      <c r="A99" s="14"/>
      <c r="B99" s="37" t="s">
        <v>451</v>
      </c>
      <c r="C99" s="50">
        <f>VLOOKUP(A3,Data!A:CN,90,FALSE)</f>
        <v>0.16700000000000001</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5</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17</v>
      </c>
      <c r="B104" s="79">
        <f>B101</f>
        <v>5</v>
      </c>
      <c r="C104" s="52">
        <f>VLOOKUP(A3,Data!A:CN,91,FALSE) + 1</f>
        <v>2</v>
      </c>
      <c r="D104" s="79">
        <f>SUM(A104:C104)</f>
        <v>24</v>
      </c>
      <c r="E104" s="52">
        <f>VLOOKUP(A3,Data!A:CN,92,FALSE)</f>
        <v>40</v>
      </c>
      <c r="F104" s="28">
        <f>D104/E104</f>
        <v>0.6</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MmzxvUgKhEYhSXdmgZb1OBaPw6ScsK74Kt1shCLupttj1sxba4xYkX0Eyv7Y2ju1VDXOtH2W3G3IEb3JHLqSQA==" saltValue="pPzFxF5atWyM8CT1AdxKq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2024-05-21T12:06:52Z</dcterms:modified>
</cp:coreProperties>
</file>