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B6B4C760-AAD9-41B0-BC80-6303B91E87E4}" xr6:coauthVersionLast="47" xr6:coauthVersionMax="47" xr10:uidLastSave="{00000000-0000-0000-0000-000000000000}"/>
  <workbookProtection workbookAlgorithmName="SHA-512" workbookHashValue="hzLishmCerbIW4LThwISMo32vsTXgmfjMADJr06+HO3A25O/4bRv2Kl7u5lghDMZi2FCsSO5O5PtZv0ff1jGFw==" workbookSaltValue="00ADJAs9KsYiWLcaSWbp4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<sst xmlns="http://schemas.openxmlformats.org/spreadsheetml/2006/main" count="1777" uniqueCount="595">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</sst>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0.30769999999999997</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0.67100000000000004</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0.94740000000000002</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0.99129999999999996</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0.96299999999999997</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0.95099999999999996</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0.95850000000000002</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0.92500000000000004</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0.23400000000000001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0.15079999999999999</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0.41570000000000001</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0.48880000000000001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0.1797</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6.8000000000000005E-2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0.3861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0.4</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0.31580000000000003</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0.36</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0.27779999999999999</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0.26319999999999999</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0.23530000000000001</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0.39679999999999999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5.0000000000000001E-3</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0.43509999999999999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0.43790000000000001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0.36170000000000002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0.33439999999999998</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0.3211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0.66679999999999995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9.2299999999999993E-2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0.99919999999999998</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0.35139999999999999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0.68920000000000003</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0.94950000000000001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0.72970000000000002</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0.52049999999999996</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0.3836</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1.49E-2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0.99350000000000005</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0.15840000000000001</c:v>
                </c:pt>
                <c:pt idx="3">
                  <c:v>0.2467</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0.3836</c:v>
                </c:pt>
                <c:pt idx="3">
                  <c:v>0.67449999999999999</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0.16309999999999999</c:v>
                </c:pt>
                <c:pt idx="3">
                  <c:v>0.18740000000000001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0.63560000000000005</c:v>
                </c:pt>
                <c:pt idx="3">
                  <c:v>0.66679999999999995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0.44840000000000002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0.1411</c:v>
                </c:pt>
                <c:pt idx="3">
                  <c:v>0.129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0.30499999999999999</c:v>
                </c:pt>
                <c:pt idx="3">
                  <c:v>0.35</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8.9300000000000004E-2</c:v>
                </c:pt>
                <c:pt idx="3">
                  <c:v>0.1583</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6.1199999999999997E-2</c:v>
                </c:pt>
                <c:pt idx="3">
                  <c:v>7.6899999999999996E-2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0.8851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0.52900000000000003</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0.89670000000000005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33</v>
      </c>
      <c r="B3" s="31"/>
      <c r="C3" s="31"/>
      <c r="D3" s="31"/>
      <c r="E3" s="31"/>
      <c r="F3" s="31"/>
      <c r="G3" s="31"/>
      <c r="H3" s="31"/>
      <c r="I3" s="31"/>
      <c r="J3" s="31"/>
      <c r="K3" s="31"/>
      <c r="L3" s="31"/>
      <c r="M3" s="31"/>
      <c r="N3" s="31"/>
      <c r="O3" s="5"/>
    </row>
    <row r="4" spans="1:20" s="4" customFormat="1" ht="11.25" x14ac:dyDescent="0.2">
      <c r="A4" s="4" t="str">
        <f>VLOOKUP(A3,Data!A:CN,2,FALSE)</f>
        <v>75 Calhoun Street</v>
      </c>
      <c r="C4" s="7"/>
      <c r="E4" s="7"/>
      <c r="F4" s="7"/>
    </row>
    <row r="5" spans="1:20" s="4" customFormat="1" ht="11.25" x14ac:dyDescent="0.2">
      <c r="A5" s="4" t="str">
        <f>VLOOKUP(A3,Data!A:CN,3,FALSE)</f>
        <v>Charleston</v>
      </c>
      <c r="C5" s="7"/>
      <c r="E5" s="7"/>
      <c r="F5" s="7"/>
      <c r="G5" s="7" t="str">
        <f>VLOOKUP(A3,Data!A:CN,4,FALSE)</f>
        <v>SC</v>
      </c>
      <c r="H5" s="7"/>
      <c r="I5" s="7" t="str">
        <f>VLOOKUP(A3,Data!A:CN,5,FALSE)</f>
        <v>29401</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0.3836</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0.52049999999999996</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0.99129999999999996</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0.96299999999999997</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0.95099999999999996</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0.99350000000000005</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0.95850000000000002</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0.92500000000000004</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0.23400000000000001</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0.15079999999999999</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0.41570000000000001</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0.1797</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6.8000000000000005E-2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0.3861</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0.4</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0.31580000000000003</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0.36</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0.27779999999999999</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0.26319999999999999</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0.23530000000000001</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0.39679999999999999</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0.43509999999999999</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0.43790000000000001</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0.36170000000000002</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0.33439999999999998</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0.3211</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0.66679999999999995</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9.2299999999999993E-2</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1.49E-2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0.30769999999999997</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0.48880000000000001</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5.0000000000000001E-3</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0.94950000000000001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0.44840000000000002</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0.8851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0.52900000000000003</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0.89670000000000005</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0.67100000000000004</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0.94740000000000002</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Yes</v>
      </c>
      <c r="H153" s="55" t="s">
        <v>1</v>
      </c>
      <c r="I153" s="6" t="str">
        <f>IF(OR(G153="NA",G153="**"),"NA",IF(G153="No","Met",IF(G153="Yes","Not Met")))</f>
        <v>Not 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0.99919999999999998</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0.35139999999999999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0.68920000000000003</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0.72970000000000002</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MqmCOa5Y2HUKC7YmAw8k7/atXZkB9qZ8Sweb0//SKYZc6wtoGV0LPZLNb5zVDnMoXPA0Y89QBROtxuI1mjwvSQ==" saltValue="yGKP7gomfhdIcmsWKKRG7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33</v>
      </c>
      <c r="B3" s="31"/>
      <c r="C3" s="31"/>
      <c r="D3" s="31"/>
      <c r="E3" s="31"/>
      <c r="F3" s="31"/>
      <c r="G3" s="31"/>
      <c r="H3" s="5"/>
      <c r="I3" s="5"/>
      <c r="J3" s="5"/>
    </row>
    <row r="4" spans="1:10" x14ac:dyDescent="0.2">
      <c r="A4" s="4" t="str">
        <f>VLOOKUP(A3,Data!A:CN,2,FALSE)</f>
        <v>75 Calhoun Street</v>
      </c>
    </row>
    <row r="5" spans="1:10" x14ac:dyDescent="0.2">
      <c r="A5" s="4" t="str">
        <f>VLOOKUP(A3,Data!A:CN,3,FALSE)</f>
        <v>Charleston</v>
      </c>
      <c r="C5" s="7" t="str">
        <f>VLOOKUP(A3,Data!A:CN,4,FALSE)</f>
        <v>SC</v>
      </c>
      <c r="D5" s="7" t="str">
        <f>VLOOKUP(A3,Data!A:CN,5,FALSE)</f>
        <v>29401</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1</v>
      </c>
      <c r="C26" s="76" t="str">
        <f>IF(B26=0,"2 or more consecutive years of findings of non-compliance (current year and previous year(s))",
IF(B26=1,"Findings of non-compliance in the current year",
IF(B26=2,"No findings of non-compliance","")))</f>
        <v>Findings of non-compliance in the current year</v>
      </c>
      <c r="D26" s="66"/>
      <c r="E26" s="66"/>
      <c r="F26" s="66"/>
      <c r="G26" s="66"/>
      <c r="H26" s="66"/>
      <c r="I26" s="66"/>
      <c r="J26" s="66"/>
    </row>
    <row r="27" spans="1:10" ht="21.95" customHeight="1" x14ac:dyDescent="0.2">
      <c r="A27" s="42" t="s">
        <v>15</v>
      </c>
      <c r="B27" s="35">
        <f>SUM(B10,B12,B14,B16,B18,B20,B22,B24,B26)</f>
        <v>16</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0.3836</v>
      </c>
      <c r="E34" s="18"/>
      <c r="F34" s="18"/>
      <c r="G34" s="18"/>
      <c r="H34" s="18"/>
      <c r="I34" s="18"/>
      <c r="J34" s="18"/>
    </row>
    <row r="35" spans="1:10" ht="11.25" customHeight="1" x14ac:dyDescent="0.2">
      <c r="A35" s="14"/>
      <c r="B35" s="37" t="s">
        <v>451</v>
      </c>
      <c r="C35" s="50">
        <f>VLOOKUP(A3,Data!A:CN,66,FALSE)</f>
        <v>0.67449999999999999</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year’s state performance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0.15840000000000001</v>
      </c>
      <c r="E42" s="18"/>
      <c r="F42" s="18"/>
      <c r="G42" s="18"/>
      <c r="H42" s="18"/>
      <c r="I42" s="18"/>
      <c r="J42" s="18"/>
    </row>
    <row r="43" spans="1:10" ht="11.25" customHeight="1" x14ac:dyDescent="0.2">
      <c r="A43" s="14"/>
      <c r="B43" s="37" t="s">
        <v>451</v>
      </c>
      <c r="C43" s="50">
        <f>VLOOKUP(A3,Data!A:CN,69,FALSE)</f>
        <v>0.2467</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8.9300000000000004E-2</v>
      </c>
      <c r="E50" s="18"/>
      <c r="F50" s="18"/>
      <c r="G50" s="18"/>
      <c r="H50" s="18"/>
      <c r="I50" s="18"/>
      <c r="J50" s="18"/>
    </row>
    <row r="51" spans="1:10" ht="11.25" customHeight="1" x14ac:dyDescent="0.2">
      <c r="A51" s="14"/>
      <c r="B51" s="37" t="s">
        <v>451</v>
      </c>
      <c r="C51" s="50">
        <f>VLOOKUP(A3,Data!A:CN,72,FALSE)</f>
        <v>0.1583</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0.16309999999999999</v>
      </c>
      <c r="E58" s="18"/>
      <c r="F58" s="18"/>
      <c r="G58" s="18"/>
      <c r="H58" s="18"/>
      <c r="I58" s="18"/>
      <c r="J58" s="18"/>
    </row>
    <row r="59" spans="1:10" ht="11.25" customHeight="1" x14ac:dyDescent="0.2">
      <c r="A59" s="14"/>
      <c r="B59" s="37" t="s">
        <v>451</v>
      </c>
      <c r="C59" s="50">
        <f>VLOOKUP(A3,Data!A:CN,75,FALSE)</f>
        <v>0.18740000000000001</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year’s state performance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6.1199999999999997E-2</v>
      </c>
      <c r="E66" s="18"/>
      <c r="F66" s="18"/>
      <c r="G66" s="18"/>
      <c r="H66" s="18"/>
      <c r="I66" s="18"/>
      <c r="J66" s="18"/>
    </row>
    <row r="67" spans="1:10" ht="11.25" customHeight="1" x14ac:dyDescent="0.2">
      <c r="A67" s="14"/>
      <c r="B67" s="37" t="s">
        <v>451</v>
      </c>
      <c r="C67" s="50">
        <f>VLOOKUP(A3,Data!A:CN,78,FALSE)</f>
        <v>7.6899999999999996E-2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2</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year’s state performance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0.63560000000000005</v>
      </c>
      <c r="E74" s="18"/>
      <c r="F74" s="18"/>
      <c r="G74" s="18"/>
      <c r="H74" s="18"/>
      <c r="I74" s="18"/>
      <c r="J74" s="18"/>
    </row>
    <row r="75" spans="1:10" ht="11.25" customHeight="1" x14ac:dyDescent="0.2">
      <c r="A75" s="14"/>
      <c r="B75" s="37" t="s">
        <v>451</v>
      </c>
      <c r="C75" s="50">
        <f>VLOOKUP(A3,Data!A:CN,81,FALSE)</f>
        <v>0.66679999999999995</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0.1411</v>
      </c>
      <c r="E90" s="18"/>
      <c r="F90" s="18"/>
      <c r="G90" s="18"/>
      <c r="H90" s="18"/>
      <c r="I90" s="18"/>
      <c r="J90" s="18"/>
    </row>
    <row r="91" spans="1:10" ht="11.25" customHeight="1" x14ac:dyDescent="0.2">
      <c r="A91" s="14"/>
      <c r="B91" s="37" t="s">
        <v>451</v>
      </c>
      <c r="C91" s="50">
        <f>VLOOKUP(A3,Data!A:CN,87,FALSE)</f>
        <v>0.129</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3</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state target</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0.30499999999999999</v>
      </c>
      <c r="E98" s="18"/>
      <c r="F98" s="18"/>
      <c r="G98" s="18"/>
      <c r="H98" s="18"/>
      <c r="I98" s="18"/>
      <c r="J98" s="18"/>
    </row>
    <row r="99" spans="1:10" ht="11.25" customHeight="1" x14ac:dyDescent="0.2">
      <c r="A99" s="14"/>
      <c r="B99" s="37" t="s">
        <v>451</v>
      </c>
      <c r="C99" s="50">
        <f>VLOOKUP(A3,Data!A:CN,90,FALSE)</f>
        <v>0.35</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16</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16</v>
      </c>
      <c r="B104" s="79">
        <f>B101</f>
        <v>16</v>
      </c>
      <c r="C104" s="52">
        <f>VLOOKUP(A3,Data!A:CN,91,FALSE) + 1</f>
        <v>1</v>
      </c>
      <c r="D104" s="79">
        <f>SUM(A104:C104)</f>
        <v>33</v>
      </c>
      <c r="E104" s="52">
        <f>VLOOKUP(A3,Data!A:CN,92,FALSE)</f>
        <v>40</v>
      </c>
      <c r="F104" s="28">
        <f>D104/E104</f>
        <v>0.82499999999999996</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coBB1tEp6smd5It6rbtI2Epidt8zO+g6QKAXKfjjwVEw/7pU5WmEBnmDIrP63+3Q8/dM2fbViRDc+MRYSxkwtA==" saltValue="imxeoQeZcSdOPx/aK0eGE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2024-05-21T12:06:53Z</dcterms:modified>
</cp:coreProperties>
</file>