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7EF0347D-6B1E-4D34-8FA6-FF197F42F2BF}" xr6:coauthVersionLast="47" xr6:coauthVersionMax="47" xr10:uidLastSave="{00000000-0000-0000-0000-000000000000}"/>
  <workbookProtection workbookAlgorithmName="SHA-512" workbookHashValue="hWiflxB+DPQfhlPAL8cgdNGAir3pDhjO2LkKeNS0TXZoY0BMeu0WPZuHKu71fDH9jjShSVD8pBnjImrIWBl0Gw==" workbookSaltValue="vlGa0QH5Pts7X/jas5CgSA=="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<sst xmlns="http://schemas.openxmlformats.org/spreadsheetml/2006/main" count="1777" uniqueCount="595">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</sst>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0.64100000000000001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0.92310000000000003</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0.98670000000000002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0.91249999999999998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0.96299999999999997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0.9375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0.9859</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9.8400000000000001E-2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0.22969999999999999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0.25640000000000002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0.18329999999999999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3.2800000000000003E-2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0.35709999999999997</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0.21429999999999999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0.42859999999999998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0.34939999999999999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0.35699999999999998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0.54100000000000004</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0.2732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0.17749999999999999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0.26400000000000001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0.50390000000000001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0.18490000000000001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0.18179999999999999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0.59089999999999998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0.85370000000000001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0.59089999999999998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0.93330000000000002</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0.33779999999999999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0.56759999999999999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1.47E-2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0.98670000000000002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0.127</c:v>
                </c:pt>
                <c:pt idx="3">
                  <c:v>0.22969999999999999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0.56759999999999999</c:v>
                </c:pt>
                <c:pt idx="3">
                  <c:v>0.47460000000000002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0.17460000000000001</c:v>
                </c:pt>
                <c:pt idx="3">
                  <c:v>0.18920000000000001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0.51319999999999999</c:v>
                </c:pt>
                <c:pt idx="3">
                  <c:v>0.50390000000000001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0.25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0.20349999999999999</c:v>
                </c:pt>
                <c:pt idx="3">
                  <c:v>0.22800000000000001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0.189</c:v>
                </c:pt>
                <c:pt idx="3">
                  <c:v>0.28000000000000003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6.25E-2</c:v>
                </c:pt>
                <c:pt idx="3">
                  <c:v>0.12330000000000001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0.05</c:v>
                </c:pt>
                <c:pt idx="3">
                  <c:v>0.1067</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0.82930000000000004</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0.36359999999999998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0.82499999999999996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52</v>
      </c>
      <c r="B3" s="31"/>
      <c r="C3" s="31"/>
      <c r="D3" s="31"/>
      <c r="E3" s="31"/>
      <c r="F3" s="31"/>
      <c r="G3" s="31"/>
      <c r="H3" s="31"/>
      <c r="I3" s="31"/>
      <c r="J3" s="31"/>
      <c r="K3" s="31"/>
      <c r="L3" s="31"/>
      <c r="M3" s="31"/>
      <c r="N3" s="31"/>
      <c r="O3" s="5"/>
    </row>
    <row r="4" spans="1:20" s="4" customFormat="1" ht="11.25" x14ac:dyDescent="0.2">
      <c r="A4" s="4" t="str">
        <f>VLOOKUP(A3,Data!A:CN,2,FALSE)</f>
        <v>P.O. Box 248</v>
      </c>
      <c r="C4" s="7"/>
      <c r="E4" s="7"/>
      <c r="F4" s="7"/>
    </row>
    <row r="5" spans="1:20" s="4" customFormat="1" ht="11.25" x14ac:dyDescent="0.2">
      <c r="A5" s="4" t="str">
        <f>VLOOKUP(A3,Data!A:CN,3,FALSE)</f>
        <v>Greenwood</v>
      </c>
      <c r="C5" s="7"/>
      <c r="E5" s="7"/>
      <c r="F5" s="7"/>
      <c r="G5" s="7" t="str">
        <f>VLOOKUP(A3,Data!A:CN,4,FALSE)</f>
        <v>SC</v>
      </c>
      <c r="H5" s="7"/>
      <c r="I5" s="7" t="str">
        <f>VLOOKUP(A3,Data!A:CN,5,FALSE)</f>
        <v>29649</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0.56759999999999999</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0.33779999999999999</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0.98670000000000002</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0.91249999999999998</v>
      </c>
      <c r="H22" s="55" t="s">
        <v>1</v>
      </c>
      <c r="I22" s="6" t="str">
        <f>IF(OR(G22="NA",G22="**"),"NA",IF(G22&lt;C22,"Not Met","Met"))</f>
        <v>Not 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0.96299999999999997</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0.98670000000000002</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0.9375</v>
      </c>
      <c r="H31" s="55" t="s">
        <v>1</v>
      </c>
      <c r="I31" s="6" t="str">
        <f>IF(OR(G31="NA",G31="**"),"NA",IF(G31&lt;C31,"Not Met","Met"))</f>
        <v>Not 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0.9859</v>
      </c>
      <c r="H34" s="55" t="s">
        <v>1</v>
      </c>
      <c r="I34" s="6" t="str">
        <f>IF(OR(G34="NA",G34="**"),"NA",IF(G34&lt;C34,"Not Met","Met"))</f>
        <v>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0.2</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9.8400000000000001E-2</v>
      </c>
      <c r="H40" s="55" t="s">
        <v>1</v>
      </c>
      <c r="I40" s="6" t="str">
        <f>IF(OR(G40="NA",G40="**"),"NA",IF(G40&lt;C40,"Not Met","Met"))</f>
        <v>Not 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0.22969999999999999</v>
      </c>
      <c r="H43" s="55" t="s">
        <v>1</v>
      </c>
      <c r="I43" s="6" t="str">
        <f>IF(OR(G43="NA",G43="**"),"NA",IF(G43&lt;C43,"Not Met","Met"))</f>
        <v>Not 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0.18329999999999999</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3.2800000000000003E-2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0.2</v>
      </c>
      <c r="H52" s="55" t="s">
        <v>1</v>
      </c>
      <c r="I52" s="6" t="str">
        <f>IF(OR(G52="NA",G52="**"),"NA",IF(G52&lt;C52,"Not Met","Met"))</f>
        <v>Not 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0.35709999999999997</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0.25</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0.5</v>
      </c>
      <c r="H61" s="55" t="s">
        <v>1</v>
      </c>
      <c r="I61" s="6" t="str">
        <f>IF(OR(G61="NA",G61="**"),"NA",IF(G61&lt;C61,"Not Met","Met"))</f>
        <v>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0.21429999999999999</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0.42859999999999998</v>
      </c>
      <c r="H67" s="55" t="s">
        <v>1</v>
      </c>
      <c r="I67" s="6" t="str">
        <f>IF(OR(G67="NA",G67="**"),"NA",IF(G67&lt;C67,"Not Met","Met"))</f>
        <v>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0.5</v>
      </c>
      <c r="H70" s="55" t="s">
        <v>1</v>
      </c>
      <c r="I70" s="6" t="str">
        <f>IF(OR(G70="NA",G70="**"),"NA",IF(G70&lt;C70,"Not Met","Met"))</f>
        <v>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0.34939999999999999</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0.35699999999999998</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0.54100000000000004</v>
      </c>
      <c r="H79" s="55" t="s">
        <v>1</v>
      </c>
      <c r="I79" s="6" t="str">
        <f>IF(OR(G79="NA",G79="**"),"NA",IF(G79&gt;C79,"Not Met","Met"))</f>
        <v>Not 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0.2732</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0.17749999999999999</v>
      </c>
      <c r="H85" s="55" t="s">
        <v>1</v>
      </c>
      <c r="I85" s="6" t="str">
        <f>IF(OR(G85="NA",G85="**"),"NA",IF(G85&gt;C85,"Not Met","Met"))</f>
        <v>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0.26400000000000001</v>
      </c>
      <c r="H88" s="55" t="s">
        <v>1</v>
      </c>
      <c r="I88" s="6" t="str">
        <f>IF(OR(G88="NA",G88="**"),"NA",IF(G88&gt;C88,"Not Met","Met"))</f>
        <v>Not 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0.50390000000000001</v>
      </c>
      <c r="H99" s="55" t="s">
        <v>1</v>
      </c>
      <c r="I99" s="6" t="str">
        <f t="shared" ref="I99" si="2">IF(OR(G99="NA",G99="**"),"NA",IF(G99&lt;C99,"Not Met","Met"))</f>
        <v>Not 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0.18490000000000001</v>
      </c>
      <c r="H102" s="55" t="s">
        <v>1</v>
      </c>
      <c r="I102" s="6" t="str">
        <f>IF(OR(G102="NA",G102="**"),"NA",IF(G102&gt;C102,"Not Met","Met"))</f>
        <v>Not 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1.47E-2</v>
      </c>
      <c r="H105" s="55" t="s">
        <v>1</v>
      </c>
      <c r="I105" s="6" t="str">
        <f>IF(OR(G105="NA",G105="**"),"NA",IF(G105&gt;C105,"Not Met","Met"))</f>
        <v>Not 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0.64100000000000001</v>
      </c>
      <c r="H109" s="55" t="s">
        <v>1</v>
      </c>
      <c r="I109" s="6" t="str">
        <f>IF(OR(G109="NA",G109="**"),"NA",IF(G109&lt;C109,"Not Met","Met"))</f>
        <v>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0.25640000000000002</v>
      </c>
      <c r="H112" s="55" t="s">
        <v>1</v>
      </c>
      <c r="I112" s="6" t="str">
        <f>IF(OR(G112="NA",G112="**"),"NA",IF(G112&gt;C112,"Not Met","Met"))</f>
        <v>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0</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0.85370000000000001</v>
      </c>
      <c r="H120" s="55" t="s">
        <v>1</v>
      </c>
      <c r="I120" s="6" t="str">
        <f t="shared" ref="I120:I162" si="3">IF(OR(G120="NA",G120="**"),"NA",IF(G120&lt;C120,"Not Met","Met"))</f>
        <v>Not 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0.25</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0.82930000000000004</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0.36359999999999998</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0.82499999999999996</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0.5</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0.92310000000000003</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0.93330000000000002</v>
      </c>
      <c r="H166" s="55" t="s">
        <v>1</v>
      </c>
      <c r="I166" s="6" t="str">
        <f t="shared" ref="I166" si="5">IF(OR(G166="NA",G166="**"),"NA",IF(G166&lt;C166,"Not Met","Met"))</f>
        <v>Not 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0.18179999999999999</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0.59089999999999998</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0.59089999999999998</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AeN8q6vjTLojRrlLFfvI36KVWruS75JrBCAs3TlOIoEQ61G9W+ZF8M/0DmiemgeTiDdySnq1JvYks3MMOzCQag==" saltValue="kRgntPJMMPs/Q6UQUtfysQ=="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52</v>
      </c>
      <c r="B3" s="31"/>
      <c r="C3" s="31"/>
      <c r="D3" s="31"/>
      <c r="E3" s="31"/>
      <c r="F3" s="31"/>
      <c r="G3" s="31"/>
      <c r="H3" s="5"/>
      <c r="I3" s="5"/>
      <c r="J3" s="5"/>
    </row>
    <row r="4" spans="1:10" x14ac:dyDescent="0.2">
      <c r="A4" s="4" t="str">
        <f>VLOOKUP(A3,Data!A:CN,2,FALSE)</f>
        <v>P.O. Box 248</v>
      </c>
    </row>
    <row r="5" spans="1:10" x14ac:dyDescent="0.2">
      <c r="A5" s="4" t="str">
        <f>VLOOKUP(A3,Data!A:CN,3,FALSE)</f>
        <v>Greenwood</v>
      </c>
      <c r="C5" s="7" t="str">
        <f>VLOOKUP(A3,Data!A:CN,4,FALSE)</f>
        <v>SC</v>
      </c>
      <c r="D5" s="7" t="str">
        <f>VLOOKUP(A3,Data!A:CN,5,FALSE)</f>
        <v>29649</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1</v>
      </c>
      <c r="C14" s="75" t="str">
        <f>IF(B14=0,"2 or more consecutive years of findings of non-compliance (current year and previous year(s))",
IF(B14=1,"Findings of non-compliance in the current year",
IF(B14=2,"No findings of non-compliance","")))</f>
        <v>Findings of non-compliance in the current year</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17</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0</v>
      </c>
      <c r="C30" s="73" t="str">
        <f>IF(B30=0,"Does not meet prior year’s state performance and did not improve",
IF(B30=1,"Does not meet prior year’s state performance but improved since last year",
IF(B30=2,"Meets or exceeds current year’s state performance",
IF(B30=3,"Meets or exceeds current state target",""))))</f>
        <v>Does not meet prior year’s state performance and did not improve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0.56759999999999999</v>
      </c>
      <c r="E34" s="18"/>
      <c r="F34" s="18"/>
      <c r="G34" s="18"/>
      <c r="H34" s="18"/>
      <c r="I34" s="18"/>
      <c r="J34" s="18"/>
    </row>
    <row r="35" spans="1:10" ht="11.25" customHeight="1" x14ac:dyDescent="0.2">
      <c r="A35" s="14"/>
      <c r="B35" s="37" t="s">
        <v>451</v>
      </c>
      <c r="C35" s="50">
        <f>VLOOKUP(A3,Data!A:CN,66,FALSE)</f>
        <v>0.47460000000000002</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1</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Meets or exceeds current year’s state performance</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0.127</v>
      </c>
      <c r="E42" s="18"/>
      <c r="F42" s="18"/>
      <c r="G42" s="18"/>
      <c r="H42" s="18"/>
      <c r="I42" s="18"/>
      <c r="J42" s="18"/>
    </row>
    <row r="43" spans="1:10" ht="11.25" customHeight="1" x14ac:dyDescent="0.2">
      <c r="A43" s="14"/>
      <c r="B43" s="37" t="s">
        <v>451</v>
      </c>
      <c r="C43" s="50">
        <f>VLOOKUP(A3,Data!A:CN,69,FALSE)</f>
        <v>0.22969999999999999</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0.5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Does not meet prior year’s state performance but improved since last year</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6.25E-2</v>
      </c>
      <c r="E50" s="18"/>
      <c r="F50" s="18"/>
      <c r="G50" s="18"/>
      <c r="H50" s="18"/>
      <c r="I50" s="18"/>
      <c r="J50" s="18"/>
    </row>
    <row r="51" spans="1:10" ht="11.25" customHeight="1" x14ac:dyDescent="0.2">
      <c r="A51" s="14"/>
      <c r="B51" s="37" t="s">
        <v>451</v>
      </c>
      <c r="C51" s="50">
        <f>VLOOKUP(A3,Data!A:CN,72,FALSE)</f>
        <v>0.12330000000000001</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0.5</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but improved since last year</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0.17460000000000001</v>
      </c>
      <c r="E58" s="18"/>
      <c r="F58" s="18"/>
      <c r="G58" s="18"/>
      <c r="H58" s="18"/>
      <c r="I58" s="18"/>
      <c r="J58" s="18"/>
    </row>
    <row r="59" spans="1:10" ht="11.25" customHeight="1" x14ac:dyDescent="0.2">
      <c r="A59" s="14"/>
      <c r="B59" s="37" t="s">
        <v>451</v>
      </c>
      <c r="C59" s="50">
        <f>VLOOKUP(A3,Data!A:CN,75,FALSE)</f>
        <v>0.18920000000000001</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1.5</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Meets or exceeds current state target</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0.05</v>
      </c>
      <c r="E66" s="18"/>
      <c r="F66" s="18"/>
      <c r="G66" s="18"/>
      <c r="H66" s="18"/>
      <c r="I66" s="18"/>
      <c r="J66" s="18"/>
    </row>
    <row r="67" spans="1:10" ht="11.25" customHeight="1" x14ac:dyDescent="0.2">
      <c r="A67" s="14"/>
      <c r="B67" s="37" t="s">
        <v>451</v>
      </c>
      <c r="C67" s="50">
        <f>VLOOKUP(A3,Data!A:CN,78,FALSE)</f>
        <v>0.1067</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0</v>
      </c>
      <c r="C70" s="73" t="str">
        <f>IF(B70=0,"Does not meet prior year’s state performance and did not improve",
IF(B70=1,"Does not meet prior year’s state performance but improved since last year",
IF(B70=2,"Meets or exceeds current year’s state performance",
IF(B70=3,"Meets or exceeds current state target",""))))</f>
        <v>Does not meet prior year’s state performance and did not improve</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0.51319999999999999</v>
      </c>
      <c r="E74" s="18"/>
      <c r="F74" s="18"/>
      <c r="G74" s="18"/>
      <c r="H74" s="18"/>
      <c r="I74" s="18"/>
      <c r="J74" s="18"/>
    </row>
    <row r="75" spans="1:10" ht="11.25" customHeight="1" x14ac:dyDescent="0.2">
      <c r="A75" s="14"/>
      <c r="B75" s="37" t="s">
        <v>451</v>
      </c>
      <c r="C75" s="50">
        <f>VLOOKUP(A3,Data!A:CN,81,FALSE)</f>
        <v>0.50390000000000001</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0</v>
      </c>
      <c r="C86" s="73" t="str">
        <f>IF(B86=0,"Does not meet prior year’s state performance and did not improve",
IF(B86=1,"Does not meet prior year’s state performance but improved since last year",
IF(B86=2,"Meets or exceeds current year’s state performance",
IF(B86=3,"Meets or exceeds current state target",""))))</f>
        <v>Does not meet prior year’s state performance and did not improve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0.20349999999999999</v>
      </c>
      <c r="E90" s="18"/>
      <c r="F90" s="18"/>
      <c r="G90" s="18"/>
      <c r="H90" s="18"/>
      <c r="I90" s="18"/>
      <c r="J90" s="18"/>
    </row>
    <row r="91" spans="1:10" ht="11.25" customHeight="1" x14ac:dyDescent="0.2">
      <c r="A91" s="14"/>
      <c r="B91" s="37" t="s">
        <v>451</v>
      </c>
      <c r="C91" s="50">
        <f>VLOOKUP(A3,Data!A:CN,87,FALSE)</f>
        <v>0.22800000000000001</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1</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but improved since last year</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0.189</v>
      </c>
      <c r="E98" s="18"/>
      <c r="F98" s="18"/>
      <c r="G98" s="18"/>
      <c r="H98" s="18"/>
      <c r="I98" s="18"/>
      <c r="J98" s="18"/>
    </row>
    <row r="99" spans="1:10" ht="11.25" customHeight="1" x14ac:dyDescent="0.2">
      <c r="A99" s="14"/>
      <c r="B99" s="37" t="s">
        <v>451</v>
      </c>
      <c r="C99" s="50">
        <f>VLOOKUP(A3,Data!A:CN,90,FALSE)</f>
        <v>0.28000000000000003</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7.5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17</v>
      </c>
      <c r="B104" s="79">
        <f>B101</f>
        <v>7.5</v>
      </c>
      <c r="C104" s="52">
        <f>VLOOKUP(A3,Data!A:CN,91,FALSE) + 1</f>
        <v>2</v>
      </c>
      <c r="D104" s="79">
        <f>SUM(A104:C104)</f>
        <v>26.5</v>
      </c>
      <c r="E104" s="52">
        <f>VLOOKUP(A3,Data!A:CN,92,FALSE)</f>
        <v>40</v>
      </c>
      <c r="F104" s="28">
        <f>D104/E104</f>
        <v>0.66249999999999998</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xvoZPx/wH/JhV1BvgG/Z/cZ7KC3tYTdPDJ6swAl2lEwjGqt7uMMBvBXR7DhGNUeaBFINN/7t98Q2gCvNW+IFAQ==" saltValue="Zsbm8FUG673yRB4Sy+IXV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2024-05-21T12:07:01Z</dcterms:modified>
</cp:coreProperties>
</file>