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5559A09D-E6B1-4B6A-A9DB-1569F2202C66}" xr6:coauthVersionLast="47" xr6:coauthVersionMax="47" xr10:uidLastSave="{00000000-0000-0000-0000-000000000000}"/>
  <workbookProtection workbookAlgorithmName="SHA-512" workbookHashValue="NhWBVtAg9xbRuznb53gqjaY71R53W37Df6qL/tV8nYD4tBlYoORvUzMJePswYrb7pqqFcyADMMnvwiZpcEoDmw==" workbookSaltValue="E4dVwVlsiz3iNnrGtAY3J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<sst xmlns="http://schemas.openxmlformats.org/spreadsheetml/2006/main" count="1777" uniqueCount="595">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</sst>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5.3800000000000001E-2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0.626</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0.97499999999999998</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0.9839</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0.96950000000000003</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0.97660000000000002</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0.97460000000000002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0.95940000000000003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0.1807</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0.125</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0.54090000000000005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0.91400000000000003</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0.18140000000000001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7.0300000000000001E-2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0.27779999999999999</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0.33329999999999999</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0.625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0.28570000000000001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0.44440000000000002</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0.40760000000000002</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0.35809999999999997</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0.29720000000000002</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0.37780000000000002</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0.2616</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0.2339</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0.56999999999999995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0.20469999999999999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0.9899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0.2</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0.82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0.87160000000000004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0.82</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0.3357</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0.51049999999999995</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2.29E-2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0.98380000000000001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0.17680000000000001</c:v>
                </c:pt>
                <c:pt idx="3">
                  <c:v>0.18440000000000001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0.51049999999999995</c:v>
                </c:pt>
                <c:pt idx="3">
                  <c:v>0.55879999999999996</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0.23760000000000001</c:v>
                </c:pt>
                <c:pt idx="3">
                  <c:v>0.1893</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0.56079999999999997</c:v>
                </c:pt>
                <c:pt idx="3">
                  <c:v>0.56999999999999995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0.48089999999999999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0.18379999999999999</c:v>
                </c:pt>
                <c:pt idx="3">
                  <c:v>0.18140000000000001</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0.28000000000000003</c:v>
                </c:pt>
                <c:pt idx="3">
                  <c:v>0.33300000000000002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0.12</c:v>
                </c:pt>
                <c:pt idx="3">
                  <c:v>0.12039999999999999</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8.6699999999999999E-2</c:v>
                </c:pt>
                <c:pt idx="3">
                  <c:v>7.8100000000000003E-2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0.82240000000000002</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0.4733</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0.88780000000000003</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58</v>
      </c>
      <c r="B3" s="31"/>
      <c r="C3" s="31"/>
      <c r="D3" s="31"/>
      <c r="E3" s="31"/>
      <c r="F3" s="31"/>
      <c r="G3" s="31"/>
      <c r="H3" s="31"/>
      <c r="I3" s="31"/>
      <c r="J3" s="31"/>
      <c r="K3" s="31"/>
      <c r="L3" s="31"/>
      <c r="M3" s="31"/>
      <c r="N3" s="31"/>
      <c r="O3" s="5"/>
    </row>
    <row r="4" spans="1:20" s="4" customFormat="1" ht="11.25" x14ac:dyDescent="0.2">
      <c r="A4" s="4" t="str">
        <f>VLOOKUP(A3,Data!A:CN,2,FALSE)</f>
        <v>300 South Catawba Street</v>
      </c>
      <c r="C4" s="7"/>
      <c r="E4" s="7"/>
      <c r="F4" s="7"/>
    </row>
    <row r="5" spans="1:20" s="4" customFormat="1" ht="11.25" x14ac:dyDescent="0.2">
      <c r="A5" s="4" t="str">
        <f>VLOOKUP(A3,Data!A:CN,3,FALSE)</f>
        <v>Lancaster</v>
      </c>
      <c r="C5" s="7"/>
      <c r="E5" s="7"/>
      <c r="F5" s="7"/>
      <c r="G5" s="7" t="str">
        <f>VLOOKUP(A3,Data!A:CN,4,FALSE)</f>
        <v>SC</v>
      </c>
      <c r="H5" s="7"/>
      <c r="I5" s="7" t="str">
        <f>VLOOKUP(A3,Data!A:CN,5,FALSE)</f>
        <v>29720</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0.51049999999999995</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0.3357</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0.9839</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0.96950000000000003</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0.97660000000000002</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0.98380000000000001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0.97460000000000002</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0.95940000000000003</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0.1807</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0.125</v>
      </c>
      <c r="H40" s="55" t="s">
        <v>1</v>
      </c>
      <c r="I40" s="6" t="str">
        <f>IF(OR(G40="NA",G40="**"),"NA",IF(G40&lt;C40,"Not Met","Met"))</f>
        <v>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0.54090000000000005</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0.18140000000000001</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7.0300000000000001E-2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0.27779999999999999</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0.33329999999999999</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0.625</v>
      </c>
      <c r="H61" s="55" t="s">
        <v>1</v>
      </c>
      <c r="I61" s="6" t="str">
        <f>IF(OR(G61="NA",G61="**"),"NA",IF(G61&lt;C61,"Not Met","Met"))</f>
        <v>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0.5</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0.28570000000000001</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0.44440000000000002</v>
      </c>
      <c r="H70" s="55" t="s">
        <v>1</v>
      </c>
      <c r="I70" s="6" t="str">
        <f>IF(OR(G70="NA",G70="**"),"NA",IF(G70&lt;C70,"Not Met","Met"))</f>
        <v>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0.40760000000000002</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0.35809999999999997</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0.29720000000000002</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0.37780000000000002</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0.2616</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0.2339</v>
      </c>
      <c r="H88" s="55" t="s">
        <v>1</v>
      </c>
      <c r="I88" s="6" t="str">
        <f>IF(OR(G88="NA",G88="**"),"NA",IF(G88&gt;C88,"Not Met","Met"))</f>
        <v>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0.56999999999999995</v>
      </c>
      <c r="H99" s="55" t="s">
        <v>1</v>
      </c>
      <c r="I99" s="6" t="str">
        <f t="shared" ref="I99" si="2">IF(OR(G99="NA",G99="**"),"NA",IF(G99&lt;C99,"Not Met","Met"))</f>
        <v>Not 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0.20469999999999999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2.29E-2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5.3800000000000001E-2</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0.91400000000000003</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0.87160000000000004</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0.48089999999999999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0.82240000000000002</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0.4733</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0.88780000000000003</v>
      </c>
      <c r="H136" s="55" t="s">
        <v>1</v>
      </c>
      <c r="I136" s="6" t="str">
        <f t="shared" si="3"/>
        <v>Not 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0.626</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0.97499999999999998</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0.9899</v>
      </c>
      <c r="H157" s="55" t="s">
        <v>1</v>
      </c>
      <c r="I157" s="6" t="str">
        <f>IF(OR(G157="NA",G157="**"),"NA",IF(G157&lt;C157,"Not Met","Met"))</f>
        <v>Not 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0.2</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0.82</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0.82</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5WxcZVKKw+vsekAJKUZ+e/yW+gn6bco37kqjkUOkXd1Vuu/m8pHGP5n8rzZ6C041I1XkWSKqORtxYOIr3WeG4A==" saltValue="IAeQIGC0xpVk1ERJDUvCrA=="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58</v>
      </c>
      <c r="B3" s="31"/>
      <c r="C3" s="31"/>
      <c r="D3" s="31"/>
      <c r="E3" s="31"/>
      <c r="F3" s="31"/>
      <c r="G3" s="31"/>
      <c r="H3" s="5"/>
      <c r="I3" s="5"/>
      <c r="J3" s="5"/>
    </row>
    <row r="4" spans="1:10" x14ac:dyDescent="0.2">
      <c r="A4" s="4" t="str">
        <f>VLOOKUP(A3,Data!A:CN,2,FALSE)</f>
        <v>300 South Catawba Street</v>
      </c>
    </row>
    <row r="5" spans="1:10" x14ac:dyDescent="0.2">
      <c r="A5" s="4" t="str">
        <f>VLOOKUP(A3,Data!A:CN,3,FALSE)</f>
        <v>Lancaster</v>
      </c>
      <c r="C5" s="7" t="str">
        <f>VLOOKUP(A3,Data!A:CN,4,FALSE)</f>
        <v>SC</v>
      </c>
      <c r="D5" s="7" t="str">
        <f>VLOOKUP(A3,Data!A:CN,5,FALSE)</f>
        <v>29720</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1</v>
      </c>
      <c r="C18" s="73" t="str">
        <f>IF(B18=0,"2 or more consecutive years of findings of non-compliance (current year and previous year(s))",
IF(B18=1,"Findings of non-compliance in the current year",
IF(B18=2,"No findings of non-compliance","")))</f>
        <v>Findings of non-compliance in the current year</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17</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0.51049999999999995</v>
      </c>
      <c r="E34" s="18"/>
      <c r="F34" s="18"/>
      <c r="G34" s="18"/>
      <c r="H34" s="18"/>
      <c r="I34" s="18"/>
      <c r="J34" s="18"/>
    </row>
    <row r="35" spans="1:10" ht="11.25" customHeight="1" x14ac:dyDescent="0.2">
      <c r="A35" s="14"/>
      <c r="B35" s="37" t="s">
        <v>451</v>
      </c>
      <c r="C35" s="50">
        <f>VLOOKUP(A3,Data!A:CN,66,FALSE)</f>
        <v>0.55879999999999996</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0.17680000000000001</v>
      </c>
      <c r="E42" s="18"/>
      <c r="F42" s="18"/>
      <c r="G42" s="18"/>
      <c r="H42" s="18"/>
      <c r="I42" s="18"/>
      <c r="J42" s="18"/>
    </row>
    <row r="43" spans="1:10" ht="11.25" customHeight="1" x14ac:dyDescent="0.2">
      <c r="A43" s="14"/>
      <c r="B43" s="37" t="s">
        <v>451</v>
      </c>
      <c r="C43" s="50">
        <f>VLOOKUP(A3,Data!A:CN,69,FALSE)</f>
        <v>0.18440000000000001</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0.12</v>
      </c>
      <c r="E50" s="18"/>
      <c r="F50" s="18"/>
      <c r="G50" s="18"/>
      <c r="H50" s="18"/>
      <c r="I50" s="18"/>
      <c r="J50" s="18"/>
    </row>
    <row r="51" spans="1:10" ht="11.25" customHeight="1" x14ac:dyDescent="0.2">
      <c r="A51" s="14"/>
      <c r="B51" s="37" t="s">
        <v>451</v>
      </c>
      <c r="C51" s="50">
        <f>VLOOKUP(A3,Data!A:CN,72,FALSE)</f>
        <v>0.12039999999999999</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and did not improve</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0.23760000000000001</v>
      </c>
      <c r="E58" s="18"/>
      <c r="F58" s="18"/>
      <c r="G58" s="18"/>
      <c r="H58" s="18"/>
      <c r="I58" s="18"/>
      <c r="J58" s="18"/>
    </row>
    <row r="59" spans="1:10" ht="11.25" customHeight="1" x14ac:dyDescent="0.2">
      <c r="A59" s="14"/>
      <c r="B59" s="37" t="s">
        <v>451</v>
      </c>
      <c r="C59" s="50">
        <f>VLOOKUP(A3,Data!A:CN,75,FALSE)</f>
        <v>0.1893</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1</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Meets or exceeds current year’s state performance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8.6699999999999999E-2</v>
      </c>
      <c r="E66" s="18"/>
      <c r="F66" s="18"/>
      <c r="G66" s="18"/>
      <c r="H66" s="18"/>
      <c r="I66" s="18"/>
      <c r="J66" s="18"/>
    </row>
    <row r="67" spans="1:10" ht="11.25" customHeight="1" x14ac:dyDescent="0.2">
      <c r="A67" s="14"/>
      <c r="B67" s="37" t="s">
        <v>451</v>
      </c>
      <c r="C67" s="50">
        <f>VLOOKUP(A3,Data!A:CN,78,FALSE)</f>
        <v>7.8100000000000003E-2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1</v>
      </c>
      <c r="C70" s="73" t="str">
        <f>IF(B70=0,"Does not meet prior year’s state performance and did not improve",
IF(B70=1,"Does not meet prior year’s state performance but improved since last year",
IF(B70=2,"Meets or exceeds current year’s state performance",
IF(B70=3,"Meets or exceeds current state target",""))))</f>
        <v>Does not meet prior year’s state performance but improved since last year</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0.56079999999999997</v>
      </c>
      <c r="E74" s="18"/>
      <c r="F74" s="18"/>
      <c r="G74" s="18"/>
      <c r="H74" s="18"/>
      <c r="I74" s="18"/>
      <c r="J74" s="18"/>
    </row>
    <row r="75" spans="1:10" ht="11.25" customHeight="1" x14ac:dyDescent="0.2">
      <c r="A75" s="14"/>
      <c r="B75" s="37" t="s">
        <v>451</v>
      </c>
      <c r="C75" s="50">
        <f>VLOOKUP(A3,Data!A:CN,81,FALSE)</f>
        <v>0.56999999999999995</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1</v>
      </c>
      <c r="C86" s="73" t="str">
        <f>IF(B86=0,"Does not meet prior year’s state performance and did not improve",
IF(B86=1,"Does not meet prior year’s state performance but improved since last year",
IF(B86=2,"Meets or exceeds current year’s state performance",
IF(B86=3,"Meets or exceeds current state target",""))))</f>
        <v>Does not meet prior year’s state performance but improved since last year</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0.18379999999999999</v>
      </c>
      <c r="E90" s="18"/>
      <c r="F90" s="18"/>
      <c r="G90" s="18"/>
      <c r="H90" s="18"/>
      <c r="I90" s="18"/>
      <c r="J90" s="18"/>
    </row>
    <row r="91" spans="1:10" ht="11.25" customHeight="1" x14ac:dyDescent="0.2">
      <c r="A91" s="14"/>
      <c r="B91" s="37" t="s">
        <v>451</v>
      </c>
      <c r="C91" s="50">
        <f>VLOOKUP(A3,Data!A:CN,87,FALSE)</f>
        <v>0.18140000000000001</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0.28000000000000003</v>
      </c>
      <c r="E98" s="18"/>
      <c r="F98" s="18"/>
      <c r="G98" s="18"/>
      <c r="H98" s="18"/>
      <c r="I98" s="18"/>
      <c r="J98" s="18"/>
    </row>
    <row r="99" spans="1:10" ht="11.25" customHeight="1" x14ac:dyDescent="0.2">
      <c r="A99" s="14"/>
      <c r="B99" s="37" t="s">
        <v>451</v>
      </c>
      <c r="C99" s="50">
        <f>VLOOKUP(A3,Data!A:CN,90,FALSE)</f>
        <v>0.33300000000000002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17</v>
      </c>
      <c r="B104" s="79">
        <f>B101</f>
        <v>10</v>
      </c>
      <c r="C104" s="52">
        <f>VLOOKUP(A3,Data!A:CN,91,FALSE) + 1</f>
        <v>1</v>
      </c>
      <c r="D104" s="79">
        <f>SUM(A104:C104)</f>
        <v>28</v>
      </c>
      <c r="E104" s="52">
        <f>VLOOKUP(A3,Data!A:CN,92,FALSE)</f>
        <v>40</v>
      </c>
      <c r="F104" s="28">
        <f>D104/E104</f>
        <v>0.7</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YmebJNkGd5g6xYPpSRP78aWcsFhkgtpezAx2HegTeFdryzOmdYJk9V7kjeYxoGpN9WDP8ijqrhwzhnQbV1lNyw==" saltValue="DClaGqzL6NIAzafc3+686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2024-05-21T12:07:04Z</dcterms:modified>
</cp:coreProperties>
</file>