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7F26D4F-E278-4B5C-A5AF-549A6C00D356}" xr6:coauthVersionLast="47" xr6:coauthVersionMax="47" xr10:uidLastSave="{00000000-0000-0000-0000-000000000000}"/>
  <workbookProtection workbookAlgorithmName="SHA-512" workbookHashValue="TLdIqBP6Xc9l6Cbg0NrzrQMUAhFsRVgrupfM9Fv1d3R1E6LOR3D0AYHlu/F9UXtRQZLg0Ki+O7OCyVuNS2+BHA==" workbookSaltValue="Vinl+BpXB4k3YpWaXJqGR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<sst xmlns="http://schemas.openxmlformats.org/spreadsheetml/2006/main" count="1777" uniqueCount="595">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</sst>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0.35560000000000003</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0.70589999999999997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0.98460000000000003</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0.85709999999999997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0.97619999999999996</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0.94740000000000002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0.18640000000000001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0.1143</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0.4889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8.4699999999999998E-2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2.5000000000000001E-2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0.1875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0.6</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0.33329999999999999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0.6</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0.16669999999999999</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0.22500000000000001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0.25919999999999999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0.23730000000000001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0.24060000000000001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0.1341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0.27879999999999999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0.59009999999999996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0.1764</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0.99250000000000005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0.93179999999999996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0.66669999999999996</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0.24529999999999999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0.62260000000000004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1.17E-2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0.98460000000000003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0.1111</c:v>
                </c:pt>
                <c:pt idx="3">
                  <c:v>0.21879999999999999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0.62260000000000004</c:v>
                </c:pt>
                <c:pt idx="3">
                  <c:v>0.59179999999999999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7.6899999999999996E-2</c:v>
                </c:pt>
                <c:pt idx="3">
                  <c:v>0.125</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0.60970000000000002</c:v>
                </c:pt>
                <c:pt idx="3">
                  <c:v>0.59009999999999996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0.52939999999999998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9.7500000000000003E-2</c:v>
                </c:pt>
                <c:pt idx="3">
                  <c:v>0.12989999999999999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0.25700000000000001</c:v>
                </c:pt>
                <c:pt idx="3">
                  <c:v>0.309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6.1499999999999999E-2</c:v>
                </c:pt>
                <c:pt idx="3">
                  <c:v>0.1111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4.6199999999999998E-2</c:v>
                </c:pt>
                <c:pt idx="3">
                  <c:v>2.4400000000000002E-2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0.95450000000000002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0.56859999999999999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59</v>
      </c>
      <c r="B3" s="31"/>
      <c r="C3" s="31"/>
      <c r="D3" s="31"/>
      <c r="E3" s="31"/>
      <c r="F3" s="31"/>
      <c r="G3" s="31"/>
      <c r="H3" s="31"/>
      <c r="I3" s="31"/>
      <c r="J3" s="31"/>
      <c r="K3" s="31"/>
      <c r="L3" s="31"/>
      <c r="M3" s="31"/>
      <c r="N3" s="31"/>
      <c r="O3" s="5"/>
    </row>
    <row r="4" spans="1:20" s="4" customFormat="1" ht="11.25" x14ac:dyDescent="0.2">
      <c r="A4" s="4" t="str">
        <f>VLOOKUP(A3,Data!A:CN,2,FALSE)</f>
        <v>301 Hillcrest Drive</v>
      </c>
      <c r="C4" s="7"/>
      <c r="E4" s="7"/>
      <c r="F4" s="7"/>
    </row>
    <row r="5" spans="1:20" s="4" customFormat="1" ht="11.25" x14ac:dyDescent="0.2">
      <c r="A5" s="4" t="str">
        <f>VLOOKUP(A3,Data!A:CN,3,FALSE)</f>
        <v>Laurens</v>
      </c>
      <c r="C5" s="7"/>
      <c r="E5" s="7"/>
      <c r="F5" s="7"/>
      <c r="G5" s="7" t="str">
        <f>VLOOKUP(A3,Data!A:CN,4,FALSE)</f>
        <v>SC</v>
      </c>
      <c r="H5" s="7"/>
      <c r="I5" s="7" t="str">
        <f>VLOOKUP(A3,Data!A:CN,5,FALSE)</f>
        <v>29360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0.62260000000000004</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0.24529999999999999</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0.98460000000000003</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0.85709999999999997</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0.98460000000000003</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0.97619999999999996</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0.94740000000000002</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0.18640000000000001</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0.1143</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8.4699999999999998E-2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2.5000000000000001E-2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0.1875</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0.6</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0.33329999999999999</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0.6</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0.16669999999999999</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0.22500000000000001</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0.25919999999999999</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0.23730000000000001</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0.24060000000000001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0.1341</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0.27879999999999999</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0.59009999999999996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0.1764</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1.17E-2</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0.35560000000000003</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0.4889</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0.93179999999999996</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0.52939999999999998</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0.95450000000000002</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0.56859999999999999</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0.70589999999999997</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0.99250000000000005</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0.66669999999999996</v>
      </c>
      <c r="H166" s="55" t="s">
        <v>1</v>
      </c>
      <c r="I166" s="6" t="str">
        <f t="shared" ref="I166" si="5">IF(OR(G166="NA",G166="**"),"NA",IF(G166&lt;C166,"Not Met","Met"))</f>
        <v>Not 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0.25</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rtA6d87ZXzrjPy/nlDTg7jxSWngkT+ABK3dabARrJTVLOafTr323QFj1b1H297Rtn19N60I1uL7MbqJiFD25gA==" saltValue="t7lmiKBhEbD3qGSAQ2eSB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59</v>
      </c>
      <c r="B3" s="31"/>
      <c r="C3" s="31"/>
      <c r="D3" s="31"/>
      <c r="E3" s="31"/>
      <c r="F3" s="31"/>
      <c r="G3" s="31"/>
      <c r="H3" s="5"/>
      <c r="I3" s="5"/>
      <c r="J3" s="5"/>
    </row>
    <row r="4" spans="1:10" x14ac:dyDescent="0.2">
      <c r="A4" s="4" t="str">
        <f>VLOOKUP(A3,Data!A:CN,2,FALSE)</f>
        <v>301 Hillcrest Drive</v>
      </c>
    </row>
    <row r="5" spans="1:10" x14ac:dyDescent="0.2">
      <c r="A5" s="4" t="str">
        <f>VLOOKUP(A3,Data!A:CN,3,FALSE)</f>
        <v>Laurens</v>
      </c>
      <c r="C5" s="7" t="str">
        <f>VLOOKUP(A3,Data!A:CN,4,FALSE)</f>
        <v>SC</v>
      </c>
      <c r="D5" s="7" t="str">
        <f>VLOOKUP(A3,Data!A:CN,5,FALSE)</f>
        <v>29360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1</v>
      </c>
      <c r="C14" s="75" t="str">
        <f>IF(B14=0,"2 or more consecutive years of findings of non-compliance (current year and previous year(s))",
IF(B14=1,"Findings of non-compliance in the current year",
IF(B14=2,"No findings of non-compliance","")))</f>
        <v>Findings of non-compliance in the current year</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16</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0.62260000000000004</v>
      </c>
      <c r="E34" s="18"/>
      <c r="F34" s="18"/>
      <c r="G34" s="18"/>
      <c r="H34" s="18"/>
      <c r="I34" s="18"/>
      <c r="J34" s="18"/>
    </row>
    <row r="35" spans="1:10" ht="11.25" customHeight="1" x14ac:dyDescent="0.2">
      <c r="A35" s="14"/>
      <c r="B35" s="37" t="s">
        <v>451</v>
      </c>
      <c r="C35" s="50">
        <f>VLOOKUP(A3,Data!A:CN,66,FALSE)</f>
        <v>0.59179999999999999</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0.1111</v>
      </c>
      <c r="E42" s="18"/>
      <c r="F42" s="18"/>
      <c r="G42" s="18"/>
      <c r="H42" s="18"/>
      <c r="I42" s="18"/>
      <c r="J42" s="18"/>
    </row>
    <row r="43" spans="1:10" ht="11.25" customHeight="1" x14ac:dyDescent="0.2">
      <c r="A43" s="14"/>
      <c r="B43" s="37" t="s">
        <v>451</v>
      </c>
      <c r="C43" s="50">
        <f>VLOOKUP(A3,Data!A:CN,69,FALSE)</f>
        <v>0.21879999999999999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6.1499999999999999E-2</v>
      </c>
      <c r="E50" s="18"/>
      <c r="F50" s="18"/>
      <c r="G50" s="18"/>
      <c r="H50" s="18"/>
      <c r="I50" s="18"/>
      <c r="J50" s="18"/>
    </row>
    <row r="51" spans="1:10" ht="11.25" customHeight="1" x14ac:dyDescent="0.2">
      <c r="A51" s="14"/>
      <c r="B51" s="37" t="s">
        <v>451</v>
      </c>
      <c r="C51" s="50">
        <f>VLOOKUP(A3,Data!A:CN,72,FALSE)</f>
        <v>0.1111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7.6899999999999996E-2</v>
      </c>
      <c r="E58" s="18"/>
      <c r="F58" s="18"/>
      <c r="G58" s="18"/>
      <c r="H58" s="18"/>
      <c r="I58" s="18"/>
      <c r="J58" s="18"/>
    </row>
    <row r="59" spans="1:10" ht="11.25" customHeight="1" x14ac:dyDescent="0.2">
      <c r="A59" s="14"/>
      <c r="B59" s="37" t="s">
        <v>451</v>
      </c>
      <c r="C59" s="50">
        <f>VLOOKUP(A3,Data!A:CN,75,FALSE)</f>
        <v>0.125</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4.6199999999999998E-2</v>
      </c>
      <c r="E66" s="18"/>
      <c r="F66" s="18"/>
      <c r="G66" s="18"/>
      <c r="H66" s="18"/>
      <c r="I66" s="18"/>
      <c r="J66" s="18"/>
    </row>
    <row r="67" spans="1:10" ht="11.25" customHeight="1" x14ac:dyDescent="0.2">
      <c r="A67" s="14"/>
      <c r="B67" s="37" t="s">
        <v>451</v>
      </c>
      <c r="C67" s="50">
        <f>VLOOKUP(A3,Data!A:CN,78,FALSE)</f>
        <v>2.4400000000000002E-2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0.60970000000000002</v>
      </c>
      <c r="E74" s="18"/>
      <c r="F74" s="18"/>
      <c r="G74" s="18"/>
      <c r="H74" s="18"/>
      <c r="I74" s="18"/>
      <c r="J74" s="18"/>
    </row>
    <row r="75" spans="1:10" ht="11.25" customHeight="1" x14ac:dyDescent="0.2">
      <c r="A75" s="14"/>
      <c r="B75" s="37" t="s">
        <v>451</v>
      </c>
      <c r="C75" s="50">
        <f>VLOOKUP(A3,Data!A:CN,81,FALSE)</f>
        <v>0.59009999999999996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9.7500000000000003E-2</v>
      </c>
      <c r="E90" s="18"/>
      <c r="F90" s="18"/>
      <c r="G90" s="18"/>
      <c r="H90" s="18"/>
      <c r="I90" s="18"/>
      <c r="J90" s="18"/>
    </row>
    <row r="91" spans="1:10" ht="11.25" customHeight="1" x14ac:dyDescent="0.2">
      <c r="A91" s="14"/>
      <c r="B91" s="37" t="s">
        <v>451</v>
      </c>
      <c r="C91" s="50">
        <f>VLOOKUP(A3,Data!A:CN,87,FALSE)</f>
        <v>0.12989999999999999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0.25700000000000001</v>
      </c>
      <c r="E98" s="18"/>
      <c r="F98" s="18"/>
      <c r="G98" s="18"/>
      <c r="H98" s="18"/>
      <c r="I98" s="18"/>
      <c r="J98" s="18"/>
    </row>
    <row r="99" spans="1:10" ht="11.25" customHeight="1" x14ac:dyDescent="0.2">
      <c r="A99" s="14"/>
      <c r="B99" s="37" t="s">
        <v>451</v>
      </c>
      <c r="C99" s="50">
        <f>VLOOKUP(A3,Data!A:CN,90,FALSE)</f>
        <v>0.309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10.5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16</v>
      </c>
      <c r="B104" s="79">
        <f>B101</f>
        <v>10.5</v>
      </c>
      <c r="C104" s="52">
        <f>VLOOKUP(A3,Data!A:CN,91,FALSE) + 1</f>
        <v>1</v>
      </c>
      <c r="D104" s="79">
        <f>SUM(A104:C104)</f>
        <v>27.5</v>
      </c>
      <c r="E104" s="52">
        <f>VLOOKUP(A3,Data!A:CN,92,FALSE)</f>
        <v>40</v>
      </c>
      <c r="F104" s="28">
        <f>D104/E104</f>
        <v>0.6875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8cOUkrKoz55lia5DGyVjvb6Rw6GoTW7sm3AhMuO9a4DkVHhY1XcBf2/jV0xggG6gUY7ylpHqKGGJBQD9XTa36g==" saltValue="ZMC395yiZFr6SL3NOjPyR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2024-05-21T12:07:05Z</dcterms:modified>
</cp:coreProperties>
</file>