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A539AC59-5C0F-43C0-90FC-384522EA14AB}" xr6:coauthVersionLast="47" xr6:coauthVersionMax="47" xr10:uidLastSave="{00000000-0000-0000-0000-000000000000}"/>
  <workbookProtection workbookAlgorithmName="SHA-512" workbookHashValue="/1sHRK0EoA5bED0QKFRcqtFvC/3G4BbjbsVQ9Sfv/pYkaRBocwlep8oM9CWTrlwZlwATPpuUmg1dyEmLlddV5Q==" workbookSaltValue="w5gY7AYUJCHHT5hocvUKf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<sst xmlns="http://schemas.openxmlformats.org/spreadsheetml/2006/main" count="1777" uniqueCount="595">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</sst>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0.36209999999999998</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0.64200000000000002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0.98280000000000001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0.94699999999999995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0.98280000000000001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0.94699999999999995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0.1081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6.4799999999999996E-2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0.50849999999999995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0.44829999999999998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7.2099999999999997E-2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3.6999999999999998E-2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0.2132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0.16669999999999999</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0.71430000000000005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0.2</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0.33329999999999999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0.71430000000000005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0.33379999999999999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4.3099999999999999E-2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0.33069999999999999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0.29120000000000001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0.29330000000000001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0.2467</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0.19159999999999999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0.62709999999999999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0.12820000000000001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0.98870000000000002</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0.26669999999999999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0.9103</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0.73329999999999995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0.8</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0.61109999999999998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2.9700000000000001E-2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0.1958</c:v>
                </c:pt>
                <c:pt idx="3">
                  <c:v>0.10340000000000001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0.61109999999999998</c:v>
                </c:pt>
                <c:pt idx="3">
                  <c:v>0.87039999999999995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0.18060000000000001</c:v>
                </c:pt>
                <c:pt idx="3">
                  <c:v>7.7600000000000002E-2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0.65429999999999999</c:v>
                </c:pt>
                <c:pt idx="3">
                  <c:v>0.62709999999999999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0.44440000000000002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0.1981</c:v>
                </c:pt>
                <c:pt idx="3">
                  <c:v>0.22459999999999999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0.17299999999999999</c:v>
                </c:pt>
                <c:pt idx="3">
                  <c:v>8.1000000000000003E-2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4.5900000000000003E-2</c:v>
                </c:pt>
                <c:pt idx="3">
                  <c:v>7.0199999999999999E-2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0.1193</c:v>
                </c:pt>
                <c:pt idx="3">
                  <c:v>5.2600000000000001E-2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0.87670000000000003</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0.44440000000000002</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0.90410000000000001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63</v>
      </c>
      <c r="B3" s="31"/>
      <c r="C3" s="31"/>
      <c r="D3" s="31"/>
      <c r="E3" s="31"/>
      <c r="F3" s="31"/>
      <c r="G3" s="31"/>
      <c r="H3" s="31"/>
      <c r="I3" s="31"/>
      <c r="J3" s="31"/>
      <c r="K3" s="31"/>
      <c r="L3" s="31"/>
      <c r="M3" s="31"/>
      <c r="N3" s="31"/>
      <c r="O3" s="5"/>
    </row>
    <row r="4" spans="1:20" s="4" customFormat="1" ht="11.25" x14ac:dyDescent="0.2">
      <c r="A4" s="4" t="str">
        <f>VLOOKUP(A3,Data!A:CN,2,FALSE)</f>
        <v>715 Ninth Street</v>
      </c>
      <c r="C4" s="7"/>
      <c r="E4" s="7"/>
      <c r="F4" s="7"/>
    </row>
    <row r="5" spans="1:20" s="4" customFormat="1" ht="11.25" x14ac:dyDescent="0.2">
      <c r="A5" s="4" t="str">
        <f>VLOOKUP(A3,Data!A:CN,3,FALSE)</f>
        <v>West Columbia</v>
      </c>
      <c r="C5" s="7"/>
      <c r="E5" s="7"/>
      <c r="F5" s="7"/>
      <c r="G5" s="7" t="str">
        <f>VLOOKUP(A3,Data!A:CN,4,FALSE)</f>
        <v>SC</v>
      </c>
      <c r="H5" s="7"/>
      <c r="I5" s="7" t="str">
        <f>VLOOKUP(A3,Data!A:CN,5,FALSE)</f>
        <v>29169</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0.61109999999999998</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0.98280000000000001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0.94699999999999995</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0.98280000000000001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0.94699999999999995</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0.1081</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6.4799999999999996E-2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0.50849999999999995</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7.2099999999999997E-2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3.6999999999999998E-2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0.2132</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0.16669999999999999</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0.71430000000000005</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0.2</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0.33329999999999999</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0.71430000000000005</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0.33379999999999999</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0.33069999999999999</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0.29120000000000001</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0.29330000000000001</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0.2467</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0.19159999999999999</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0.62709999999999999</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0.12820000000000001</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2.9700000000000001E-2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0.36209999999999998</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0.44829999999999998</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4.3099999999999999E-2</v>
      </c>
      <c r="H115" s="55" t="s">
        <v>1</v>
      </c>
      <c r="I115" s="6" t="str">
        <f>IF(OR(G115="NA",G115="**"),"NA",IF(G115&gt;C115,"Not Met","Met"))</f>
        <v>Not 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0.9103</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0.44440000000000002</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0.87670000000000003</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0.44440000000000002</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0.90410000000000001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0.64200000000000002</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0.98870000000000002</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0.8</v>
      </c>
      <c r="H166" s="55" t="s">
        <v>1</v>
      </c>
      <c r="I166" s="6" t="str">
        <f t="shared" ref="I166" si="5">IF(OR(G166="NA",G166="**"),"NA",IF(G166&lt;C166,"Not Met","Met"))</f>
        <v>Not 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0.26669999999999999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0.73329999999999995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WuRThcfYjgCGXnbzWiaGG7S33JSWY42XLsy1I01XI49f3sXsNAX0eqC/5WrIZn+r4eYQWzM0BmjrZA/F+TcKXg==" saltValue="sgRFmM6/rpLtMo+iIetac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63</v>
      </c>
      <c r="B3" s="31"/>
      <c r="C3" s="31"/>
      <c r="D3" s="31"/>
      <c r="E3" s="31"/>
      <c r="F3" s="31"/>
      <c r="G3" s="31"/>
      <c r="H3" s="5"/>
      <c r="I3" s="5"/>
      <c r="J3" s="5"/>
    </row>
    <row r="4" spans="1:10" x14ac:dyDescent="0.2">
      <c r="A4" s="4" t="str">
        <f>VLOOKUP(A3,Data!A:CN,2,FALSE)</f>
        <v>715 Ninth Street</v>
      </c>
    </row>
    <row r="5" spans="1:10" x14ac:dyDescent="0.2">
      <c r="A5" s="4" t="str">
        <f>VLOOKUP(A3,Data!A:CN,3,FALSE)</f>
        <v>West Columbia</v>
      </c>
      <c r="C5" s="7" t="str">
        <f>VLOOKUP(A3,Data!A:CN,4,FALSE)</f>
        <v>SC</v>
      </c>
      <c r="D5" s="7" t="str">
        <f>VLOOKUP(A3,Data!A:CN,5,FALSE)</f>
        <v>29169</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1</v>
      </c>
      <c r="C14" s="75" t="str">
        <f>IF(B14=0,"2 or more consecutive years of findings of non-compliance (current year and previous year(s))",
IF(B14=1,"Findings of non-compliance in the current year",
IF(B14=2,"No findings of non-compliance","")))</f>
        <v>Findings of non-compliance in the current year</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16</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3</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state target</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0.61109999999999998</v>
      </c>
      <c r="E34" s="18"/>
      <c r="F34" s="18"/>
      <c r="G34" s="18"/>
      <c r="H34" s="18"/>
      <c r="I34" s="18"/>
      <c r="J34" s="18"/>
    </row>
    <row r="35" spans="1:10" ht="11.25" customHeight="1" x14ac:dyDescent="0.2">
      <c r="A35" s="14"/>
      <c r="B35" s="37" t="s">
        <v>451</v>
      </c>
      <c r="C35" s="50">
        <f>VLOOKUP(A3,Data!A:CN,66,FALSE)</f>
        <v>0.87039999999999995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0.1958</v>
      </c>
      <c r="E42" s="18"/>
      <c r="F42" s="18"/>
      <c r="G42" s="18"/>
      <c r="H42" s="18"/>
      <c r="I42" s="18"/>
      <c r="J42" s="18"/>
    </row>
    <row r="43" spans="1:10" ht="11.25" customHeight="1" x14ac:dyDescent="0.2">
      <c r="A43" s="14"/>
      <c r="B43" s="37" t="s">
        <v>451</v>
      </c>
      <c r="C43" s="50">
        <f>VLOOKUP(A3,Data!A:CN,69,FALSE)</f>
        <v>0.10340000000000001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4.5900000000000003E-2</v>
      </c>
      <c r="E50" s="18"/>
      <c r="F50" s="18"/>
      <c r="G50" s="18"/>
      <c r="H50" s="18"/>
      <c r="I50" s="18"/>
      <c r="J50" s="18"/>
    </row>
    <row r="51" spans="1:10" ht="11.25" customHeight="1" x14ac:dyDescent="0.2">
      <c r="A51" s="14"/>
      <c r="B51" s="37" t="s">
        <v>451</v>
      </c>
      <c r="C51" s="50">
        <f>VLOOKUP(A3,Data!A:CN,72,FALSE)</f>
        <v>7.0199999999999999E-2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0.18060000000000001</v>
      </c>
      <c r="E58" s="18"/>
      <c r="F58" s="18"/>
      <c r="G58" s="18"/>
      <c r="H58" s="18"/>
      <c r="I58" s="18"/>
      <c r="J58" s="18"/>
    </row>
    <row r="59" spans="1:10" ht="11.25" customHeight="1" x14ac:dyDescent="0.2">
      <c r="A59" s="14"/>
      <c r="B59" s="37" t="s">
        <v>451</v>
      </c>
      <c r="C59" s="50">
        <f>VLOOKUP(A3,Data!A:CN,75,FALSE)</f>
        <v>7.7600000000000002E-2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0.1193</v>
      </c>
      <c r="E66" s="18"/>
      <c r="F66" s="18"/>
      <c r="G66" s="18"/>
      <c r="H66" s="18"/>
      <c r="I66" s="18"/>
      <c r="J66" s="18"/>
    </row>
    <row r="67" spans="1:10" ht="11.25" customHeight="1" x14ac:dyDescent="0.2">
      <c r="A67" s="14"/>
      <c r="B67" s="37" t="s">
        <v>451</v>
      </c>
      <c r="C67" s="50">
        <f>VLOOKUP(A3,Data!A:CN,78,FALSE)</f>
        <v>5.2600000000000001E-2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0.65429999999999999</v>
      </c>
      <c r="E74" s="18"/>
      <c r="F74" s="18"/>
      <c r="G74" s="18"/>
      <c r="H74" s="18"/>
      <c r="I74" s="18"/>
      <c r="J74" s="18"/>
    </row>
    <row r="75" spans="1:10" ht="11.25" customHeight="1" x14ac:dyDescent="0.2">
      <c r="A75" s="14"/>
      <c r="B75" s="37" t="s">
        <v>451</v>
      </c>
      <c r="C75" s="50">
        <f>VLOOKUP(A3,Data!A:CN,81,FALSE)</f>
        <v>0.62709999999999999</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0.1981</v>
      </c>
      <c r="E90" s="18"/>
      <c r="F90" s="18"/>
      <c r="G90" s="18"/>
      <c r="H90" s="18"/>
      <c r="I90" s="18"/>
      <c r="J90" s="18"/>
    </row>
    <row r="91" spans="1:10" ht="11.25" customHeight="1" x14ac:dyDescent="0.2">
      <c r="A91" s="14"/>
      <c r="B91" s="37" t="s">
        <v>451</v>
      </c>
      <c r="C91" s="50">
        <f>VLOOKUP(A3,Data!A:CN,87,FALSE)</f>
        <v>0.22459999999999999</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0.17299999999999999</v>
      </c>
      <c r="E98" s="18"/>
      <c r="F98" s="18"/>
      <c r="G98" s="18"/>
      <c r="H98" s="18"/>
      <c r="I98" s="18"/>
      <c r="J98" s="18"/>
    </row>
    <row r="99" spans="1:10" ht="11.25" customHeight="1" x14ac:dyDescent="0.2">
      <c r="A99" s="14"/>
      <c r="B99" s="37" t="s">
        <v>451</v>
      </c>
      <c r="C99" s="50">
        <f>VLOOKUP(A3,Data!A:CN,90,FALSE)</f>
        <v>8.1000000000000003E-2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6.5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16</v>
      </c>
      <c r="B104" s="79">
        <f>B101</f>
        <v>6.5</v>
      </c>
      <c r="C104" s="52">
        <f>VLOOKUP(A3,Data!A:CN,91,FALSE) + 1</f>
        <v>1</v>
      </c>
      <c r="D104" s="79">
        <f>SUM(A104:C104)</f>
        <v>23.5</v>
      </c>
      <c r="E104" s="52">
        <f>VLOOKUP(A3,Data!A:CN,92,FALSE)</f>
        <v>40</v>
      </c>
      <c r="F104" s="28">
        <f>D104/E104</f>
        <v>0.58750000000000002</v>
      </c>
      <c r="G104" s="51" t="str">
        <f>IF(F104&gt;=0.8,"Meets Requirement",
IF(F104&gt;=0.6,"Needs Assistance",
IF(F104&gt;=0.3,"Needs Intervenion",
IF(F104&lt;0.3,"Needs Substantial Intervention","NA"))))</f>
        <v>Needs Intervenion</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hzER0H8j3Tc4hs2xgM9k56i6A1+5M/1yiaFZvNTB9cbeIkEJQVJrbpOlxoncsKCtOrXZH6dEVcJRUbJ+LE06Gg==" saltValue="lU6gOyZxwInjpZe6xaPiF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2024-05-21T12:07:07Z</dcterms:modified>
</cp:coreProperties>
</file>