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7BE76BA1-060E-4169-BD2F-3F6FFEC886C6}" xr6:coauthVersionLast="47" xr6:coauthVersionMax="47" xr10:uidLastSave="{00000000-0000-0000-0000-000000000000}"/>
  <workbookProtection workbookAlgorithmName="SHA-512" workbookHashValue="8rofslb5rNhYFX+dj8CWsHVNyetDUWBUYYnzixfwFzjp/E1g9m7zZsp4TgEIVTZjNR+Piks2xBLEIiumiMqSNQ==" workbookSaltValue="B9SJjj16FZBMWJw0fQmJEQ=="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<sst xmlns="http://schemas.openxmlformats.org/spreadsheetml/2006/main" count="1777" uniqueCount="595">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</sst>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0.79169999999999996</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0.21429999999999999</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0.97440000000000004</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0.90200000000000002</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0.82499999999999996</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2.9399999999999999E-2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3.85E-2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0.31709999999999999</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5.8799999999999998E-2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3.85E-2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0.15629999999999999</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0.25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1</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0.4</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1</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0.24440000000000001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0.26190000000000002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0.39069999999999999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7.3800000000000004E-2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5.7200000000000001E-2</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0.21879999999999999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0.57650000000000001</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0.10199999999999999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0.98939999999999995</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0.05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0.78569999999999995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0.91669999999999996</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0.57999999999999996</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0.42</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8.5000000000000006E-3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0.97440000000000004</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4.5499999999999999E-2</c:v>
                </c:pt>
                <c:pt idx="3">
                  <c:v>5.2600000000000001E-2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0.42</c:v>
                </c:pt>
                <c:pt idx="3">
                  <c:v>0.49059999999999998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9.0899999999999995E-2</c:v>
                </c:pt>
                <c:pt idx="3">
                  <c:v>5.2600000000000001E-2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0.66169999999999995</c:v>
                </c:pt>
                <c:pt idx="3">
                  <c:v>0.57650000000000001</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0.28570000000000001</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0.29949999999999999</c:v>
                </c:pt>
                <c:pt idx="3">
                  <c:v>0.433</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0.21199999999999999</c:v>
                </c:pt>
                <c:pt idx="3">
                  <c:v>0.155</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1.8499999999999999E-2</c:v>
                </c:pt>
                <c:pt idx="3">
                  <c:v>7.4099999999999999E-2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3.6999999999999998E-2</c:v>
                </c:pt>
                <c:pt idx="3">
                  <c:v>7.4099999999999999E-2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0.71430000000000005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0.28570000000000001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0.75</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67</v>
      </c>
      <c r="B3" s="31"/>
      <c r="C3" s="31"/>
      <c r="D3" s="31"/>
      <c r="E3" s="31"/>
      <c r="F3" s="31"/>
      <c r="G3" s="31"/>
      <c r="H3" s="31"/>
      <c r="I3" s="31"/>
      <c r="J3" s="31"/>
      <c r="K3" s="31"/>
      <c r="L3" s="31"/>
      <c r="M3" s="31"/>
      <c r="N3" s="31"/>
      <c r="O3" s="5"/>
    </row>
    <row r="4" spans="1:20" s="4" customFormat="1" ht="11.25" x14ac:dyDescent="0.2">
      <c r="A4" s="4" t="str">
        <f>VLOOKUP(A3,Data!A:CN,2,FALSE)</f>
        <v>719 North Main Street</v>
      </c>
      <c r="C4" s="7"/>
      <c r="E4" s="7"/>
      <c r="F4" s="7"/>
    </row>
    <row r="5" spans="1:20" s="4" customFormat="1" ht="11.25" x14ac:dyDescent="0.2">
      <c r="A5" s="4" t="str">
        <f>VLOOKUP(A3,Data!A:CN,3,FALSE)</f>
        <v>Marion</v>
      </c>
      <c r="C5" s="7"/>
      <c r="E5" s="7"/>
      <c r="F5" s="7"/>
      <c r="G5" s="7" t="str">
        <f>VLOOKUP(A3,Data!A:CN,4,FALSE)</f>
        <v>SC</v>
      </c>
      <c r="H5" s="7"/>
      <c r="I5" s="7" t="str">
        <f>VLOOKUP(A3,Data!A:CN,5,FALSE)</f>
        <v>29571</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0.42</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0.57999999999999996</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0.97440000000000004</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1</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0.90200000000000002</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0.97440000000000004</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1</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0.82499999999999996</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2.9399999999999999E-2</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3.85E-2</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0.31709999999999999</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5.8799999999999998E-2</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3.85E-2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0.15629999999999999</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0.25</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1</v>
      </c>
      <c r="H58" s="55" t="s">
        <v>1</v>
      </c>
      <c r="I58" s="6" t="str">
        <f>IF(OR(G58="NA",G58="**"),"NA",IF(G58&lt;C58,"Not Met","Met"))</f>
        <v>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0.4</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1</v>
      </c>
      <c r="H67" s="55" t="s">
        <v>1</v>
      </c>
      <c r="I67" s="6" t="str">
        <f>IF(OR(G67="NA",G67="**"),"NA",IF(G67&lt;C67,"Not Met","Met"))</f>
        <v>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0.24440000000000001</v>
      </c>
      <c r="H73" s="55" t="s">
        <v>1</v>
      </c>
      <c r="I73" s="6" t="str">
        <f>IF(OR(G73="NA",G73="**"),"NA",IF(G73&gt;C73,"Not Met","Met"))</f>
        <v>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0.26190000000000002</v>
      </c>
      <c r="H76" s="55" t="s">
        <v>1</v>
      </c>
      <c r="I76" s="6" t="str">
        <f>IF(OR(G76="NA",G76="**"),"NA",IF(G76&gt;C76,"Not Met","Met"))</f>
        <v>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0.39069999999999999</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7.3800000000000004E-2</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5.7200000000000001E-2</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0.21879999999999999</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Yes</v>
      </c>
      <c r="H92" s="55" t="s">
        <v>1</v>
      </c>
      <c r="I92" s="6" t="str">
        <f t="shared" ref="I92" si="1">IF(OR(G92="NA",G92="**"),"NA",IF(G92="No","Met",IF(G92="Yes","Not Met")))</f>
        <v>Not 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0.57650000000000001</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0.10199999999999999</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8.5000000000000006E-3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0.79169999999999996</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0.78569999999999995</v>
      </c>
      <c r="H120" s="55" t="s">
        <v>1</v>
      </c>
      <c r="I120" s="6" t="str">
        <f t="shared" ref="I120:I162" si="3">IF(OR(G120="NA",G120="**"),"NA",IF(G120&lt;C120,"Not Met","Met"))</f>
        <v>Not 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0.28570000000000001</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0.71430000000000005</v>
      </c>
      <c r="H128" s="55" t="s">
        <v>1</v>
      </c>
      <c r="I128" s="6" t="str">
        <f t="shared" si="3"/>
        <v>Not 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0.28570000000000001</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0.75</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0.21429999999999999</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t="str">
        <f>+VLOOKUP(A3,Data!A:CN,46,FALSE)</f>
        <v>NA</v>
      </c>
      <c r="H144" s="55" t="s">
        <v>1</v>
      </c>
      <c r="I144" s="6" t="str">
        <f t="shared" ref="I144" si="4">IF(OR(G144="NA",G144="**"),"NA",IF(G144&lt;C144,"Not Met","Met"))</f>
        <v>NA</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0.98939999999999995</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0.91669999999999996</v>
      </c>
      <c r="H166" s="55" t="s">
        <v>1</v>
      </c>
      <c r="I166" s="6" t="str">
        <f t="shared" ref="I166" si="5">IF(OR(G166="NA",G166="**"),"NA",IF(G166&lt;C166,"Not Met","Met"))</f>
        <v>Not 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0.05</v>
      </c>
      <c r="H171" s="55" t="s">
        <v>1</v>
      </c>
      <c r="I171" s="6" t="str">
        <f t="shared" ref="I171" si="6">IF(OR(G171="NA",G171="**"),"NA",IF(G171&lt;C171,"Not Met","Met"))</f>
        <v>Not 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0.5</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0.5</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qdGo7dCPEId6YAw8NnNVmeary+Abh6Mrxaxag1+cQpjQIq4IvwJdGscXz8ACEO0RS2JWs2u/eLnCFpB4ZOVVhw==" saltValue="4bilgWVs51zrmaVIFpQmZg=="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67</v>
      </c>
      <c r="B3" s="31"/>
      <c r="C3" s="31"/>
      <c r="D3" s="31"/>
      <c r="E3" s="31"/>
      <c r="F3" s="31"/>
      <c r="G3" s="31"/>
      <c r="H3" s="5"/>
      <c r="I3" s="5"/>
      <c r="J3" s="5"/>
    </row>
    <row r="4" spans="1:10" x14ac:dyDescent="0.2">
      <c r="A4" s="4" t="str">
        <f>VLOOKUP(A3,Data!A:CN,2,FALSE)</f>
        <v>719 North Main Street</v>
      </c>
    </row>
    <row r="5" spans="1:10" x14ac:dyDescent="0.2">
      <c r="A5" s="4" t="str">
        <f>VLOOKUP(A3,Data!A:CN,3,FALSE)</f>
        <v>Marion</v>
      </c>
      <c r="C5" s="7" t="str">
        <f>VLOOKUP(A3,Data!A:CN,4,FALSE)</f>
        <v>SC</v>
      </c>
      <c r="D5" s="7" t="str">
        <f>VLOOKUP(A3,Data!A:CN,5,FALSE)</f>
        <v>29571</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1</v>
      </c>
      <c r="C14" s="75" t="str">
        <f>IF(B14=0,"2 or more consecutive years of findings of non-compliance (current year and previous year(s))",
IF(B14=1,"Findings of non-compliance in the current year",
IF(B14=2,"No findings of non-compliance","")))</f>
        <v>Findings of non-compliance in the current year</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16</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1</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but improved since last year</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0.42</v>
      </c>
      <c r="E34" s="18"/>
      <c r="F34" s="18"/>
      <c r="G34" s="18"/>
      <c r="H34" s="18"/>
      <c r="I34" s="18"/>
      <c r="J34" s="18"/>
    </row>
    <row r="35" spans="1:10" ht="11.25" customHeight="1" x14ac:dyDescent="0.2">
      <c r="A35" s="14"/>
      <c r="B35" s="37" t="s">
        <v>451</v>
      </c>
      <c r="C35" s="50">
        <f>VLOOKUP(A3,Data!A:CN,66,FALSE)</f>
        <v>0.49059999999999998</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4.5499999999999999E-2</v>
      </c>
      <c r="E42" s="18"/>
      <c r="F42" s="18"/>
      <c r="G42" s="18"/>
      <c r="H42" s="18"/>
      <c r="I42" s="18"/>
      <c r="J42" s="18"/>
    </row>
    <row r="43" spans="1:10" ht="11.25" customHeight="1" x14ac:dyDescent="0.2">
      <c r="A43" s="14"/>
      <c r="B43" s="37" t="s">
        <v>451</v>
      </c>
      <c r="C43" s="50">
        <f>VLOOKUP(A3,Data!A:CN,69,FALSE)</f>
        <v>5.2600000000000001E-2</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1.8499999999999999E-2</v>
      </c>
      <c r="E50" s="18"/>
      <c r="F50" s="18"/>
      <c r="G50" s="18"/>
      <c r="H50" s="18"/>
      <c r="I50" s="18"/>
      <c r="J50" s="18"/>
    </row>
    <row r="51" spans="1:10" ht="11.25" customHeight="1" x14ac:dyDescent="0.2">
      <c r="A51" s="14"/>
      <c r="B51" s="37" t="s">
        <v>451</v>
      </c>
      <c r="C51" s="50">
        <f>VLOOKUP(A3,Data!A:CN,72,FALSE)</f>
        <v>7.4099999999999999E-2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9.0899999999999995E-2</v>
      </c>
      <c r="E58" s="18"/>
      <c r="F58" s="18"/>
      <c r="G58" s="18"/>
      <c r="H58" s="18"/>
      <c r="I58" s="18"/>
      <c r="J58" s="18"/>
    </row>
    <row r="59" spans="1:10" ht="11.25" customHeight="1" x14ac:dyDescent="0.2">
      <c r="A59" s="14"/>
      <c r="B59" s="37" t="s">
        <v>451</v>
      </c>
      <c r="C59" s="50">
        <f>VLOOKUP(A3,Data!A:CN,75,FALSE)</f>
        <v>5.2600000000000001E-2</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year’s state performance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3.6999999999999998E-2</v>
      </c>
      <c r="E66" s="18"/>
      <c r="F66" s="18"/>
      <c r="G66" s="18"/>
      <c r="H66" s="18"/>
      <c r="I66" s="18"/>
      <c r="J66" s="18"/>
    </row>
    <row r="67" spans="1:10" ht="11.25" customHeight="1" x14ac:dyDescent="0.2">
      <c r="A67" s="14"/>
      <c r="B67" s="37" t="s">
        <v>451</v>
      </c>
      <c r="C67" s="50">
        <f>VLOOKUP(A3,Data!A:CN,78,FALSE)</f>
        <v>7.4099999999999999E-2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0.66169999999999995</v>
      </c>
      <c r="E74" s="18"/>
      <c r="F74" s="18"/>
      <c r="G74" s="18"/>
      <c r="H74" s="18"/>
      <c r="I74" s="18"/>
      <c r="J74" s="18"/>
    </row>
    <row r="75" spans="1:10" ht="11.25" customHeight="1" x14ac:dyDescent="0.2">
      <c r="A75" s="14"/>
      <c r="B75" s="37" t="s">
        <v>451</v>
      </c>
      <c r="C75" s="50">
        <f>VLOOKUP(A3,Data!A:CN,81,FALSE)</f>
        <v>0.57650000000000001</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0.29949999999999999</v>
      </c>
      <c r="E90" s="18"/>
      <c r="F90" s="18"/>
      <c r="G90" s="18"/>
      <c r="H90" s="18"/>
      <c r="I90" s="18"/>
      <c r="J90" s="18"/>
    </row>
    <row r="91" spans="1:10" ht="11.25" customHeight="1" x14ac:dyDescent="0.2">
      <c r="A91" s="14"/>
      <c r="B91" s="37" t="s">
        <v>451</v>
      </c>
      <c r="C91" s="50">
        <f>VLOOKUP(A3,Data!A:CN,87,FALSE)</f>
        <v>0.433</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0.21199999999999999</v>
      </c>
      <c r="E98" s="18"/>
      <c r="F98" s="18"/>
      <c r="G98" s="18"/>
      <c r="H98" s="18"/>
      <c r="I98" s="18"/>
      <c r="J98" s="18"/>
    </row>
    <row r="99" spans="1:10" ht="11.25" customHeight="1" x14ac:dyDescent="0.2">
      <c r="A99" s="14"/>
      <c r="B99" s="37" t="s">
        <v>451</v>
      </c>
      <c r="C99" s="50">
        <f>VLOOKUP(A3,Data!A:CN,90,FALSE)</f>
        <v>0.155</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6</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16</v>
      </c>
      <c r="B104" s="79">
        <f>B101</f>
        <v>6</v>
      </c>
      <c r="C104" s="52">
        <f>VLOOKUP(A3,Data!A:CN,91,FALSE) + 1</f>
        <v>1</v>
      </c>
      <c r="D104" s="79">
        <f>SUM(A104:C104)</f>
        <v>23</v>
      </c>
      <c r="E104" s="52">
        <f>VLOOKUP(A3,Data!A:CN,92,FALSE)</f>
        <v>40</v>
      </c>
      <c r="F104" s="28">
        <f>D104/E104</f>
        <v>0.57499999999999996</v>
      </c>
      <c r="G104" s="51" t="str">
        <f>IF(F104&gt;=0.8,"Meets Requirement",
IF(F104&gt;=0.6,"Needs Assistance",
IF(F104&gt;=0.3,"Needs Intervenion",
IF(F104&lt;0.3,"Needs Substantial Intervention","NA"))))</f>
        <v>Needs Intervenion</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n8gmRiPr0f0D9G9eOHOQFhjKXrBNzEXUzCW2QyCsWT++lNr8lkXljC4A2aYiJE5Ueqj1HTLGzMU1wi+gQewthQ==" saltValue="3NcBcrYoCS7iWNIPJVuM+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2024-05-21T12:07:09Z</dcterms:modified>
</cp:coreProperties>
</file>