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D389DC6D-CA8A-4331-BA14-2D996262D632}" xr6:coauthVersionLast="47" xr6:coauthVersionMax="47" xr10:uidLastSave="{00000000-0000-0000-0000-000000000000}"/>
  <workbookProtection workbookAlgorithmName="SHA-512" workbookHashValue="OYBnlJ/zjuF0OBskSet6B7CDJzdmzuenOqGKBpcl3inRMGjQtUL+B2ZwWQpZ8x0QA2beZgDzzFbgOsWt5rFoEw==" workbookSaltValue="zrhzJ+1Q3pGCUrCTWxbv6g=="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<sst xmlns="http://schemas.openxmlformats.org/spreadsheetml/2006/main" count="1777" uniqueCount="595">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</sst>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0.3846</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0.29630000000000001</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0.96430000000000005</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0.96879999999999999</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0.72219999999999995</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0.96879999999999999</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0.79590000000000005</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0.14810000000000001</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0.1071</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0.12</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0.53849999999999998</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7.4099999999999999E-2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0.12820000000000001</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1</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0.33329999999999999</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0.22789999999999999</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2.5600000000000001E-2</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0.24329999999999999</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0.59789999999999999</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0.1855</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0.1226</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0.2135</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0.56859999999999999</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0.29649999999999999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0.2727</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0.63639999999999997</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0.4783</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0.72729999999999995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0.25</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0.5</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0.4375</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4.2000000000000003E-2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0.96430000000000005</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6.8199999999999997E-2</c:v>
                </c:pt>
                <c:pt idx="3">
                  <c:v>0.14810000000000001</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0.4375</c:v>
                </c:pt>
                <c:pt idx="3">
                  <c:v>0.47499999999999998</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2.2700000000000001E-2</c:v>
                </c:pt>
                <c:pt idx="3">
                  <c:v>7.4099999999999999E-2</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0.59330000000000005</c:v>
                </c:pt>
                <c:pt idx="3">
                  <c:v>0.56859999999999999</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0.29630000000000001</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0.13020000000000001</c:v>
                </c:pt>
                <c:pt idx="3">
                  <c:v>0.1976</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c:v>
                </c:pt>
                <c:pt idx="3">
                  <c:v>0</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7.8399999999999997E-2</c:v>
                </c:pt>
                <c:pt idx="3">
                  <c:v>9.6799999999999997E-2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1.9199999999999998E-2</c:v>
                </c:pt>
                <c:pt idx="3">
                  <c:v>3.2300000000000002E-2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0.54549999999999998</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0.22220000000000001</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0.52629999999999999</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68</v>
      </c>
      <c r="B3" s="31"/>
      <c r="C3" s="31"/>
      <c r="D3" s="31"/>
      <c r="E3" s="31"/>
      <c r="F3" s="31"/>
      <c r="G3" s="31"/>
      <c r="H3" s="31"/>
      <c r="I3" s="31"/>
      <c r="J3" s="31"/>
      <c r="K3" s="31"/>
      <c r="L3" s="31"/>
      <c r="M3" s="31"/>
      <c r="N3" s="31"/>
      <c r="O3" s="5"/>
    </row>
    <row r="4" spans="1:20" s="4" customFormat="1" ht="11.25" x14ac:dyDescent="0.2">
      <c r="A4" s="4" t="str">
        <f>VLOOKUP(A3,Data!A:CN,2,FALSE)</f>
        <v>P.O. Box 947</v>
      </c>
      <c r="C4" s="7"/>
      <c r="E4" s="7"/>
      <c r="F4" s="7"/>
    </row>
    <row r="5" spans="1:20" s="4" customFormat="1" ht="11.25" x14ac:dyDescent="0.2">
      <c r="A5" s="4" t="str">
        <f>VLOOKUP(A3,Data!A:CN,3,FALSE)</f>
        <v>Bennettsville</v>
      </c>
      <c r="C5" s="7"/>
      <c r="E5" s="7"/>
      <c r="F5" s="7"/>
      <c r="G5" s="7" t="str">
        <f>VLOOKUP(A3,Data!A:CN,4,FALSE)</f>
        <v>SC</v>
      </c>
      <c r="H5" s="7"/>
      <c r="I5" s="7" t="str">
        <f>VLOOKUP(A3,Data!A:CN,5,FALSE)</f>
        <v>29512</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0.4375</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0.5</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0.96430000000000005</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0.96879999999999999</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0.72219999999999995</v>
      </c>
      <c r="H25" s="55" t="s">
        <v>1</v>
      </c>
      <c r="I25" s="6" t="str">
        <f>IF(OR(G25="NA",G25="**"),"NA",IF(G25&lt;C25,"Not Met","Met"))</f>
        <v>Not 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0.96430000000000005</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0.96879999999999999</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0.79590000000000005</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0.14810000000000001</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0.1071</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0.12</v>
      </c>
      <c r="H43" s="55" t="s">
        <v>1</v>
      </c>
      <c r="I43" s="6" t="str">
        <f>IF(OR(G43="NA",G43="**"),"NA",IF(G43&lt;C43,"Not Met","Met"))</f>
        <v>Not 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7.4099999999999999E-2</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0</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0.12820000000000001</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1</v>
      </c>
      <c r="H61" s="55" t="s">
        <v>1</v>
      </c>
      <c r="I61" s="6" t="str">
        <f>IF(OR(G61="NA",G61="**"),"NA",IF(G61&lt;C61,"Not Met","Met"))</f>
        <v>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0.33329999999999999</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0.22789999999999999</v>
      </c>
      <c r="H73" s="55" t="s">
        <v>1</v>
      </c>
      <c r="I73" s="6" t="str">
        <f>IF(OR(G73="NA",G73="**"),"NA",IF(G73&gt;C73,"Not Met","Met"))</f>
        <v>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0.24329999999999999</v>
      </c>
      <c r="H76" s="55" t="s">
        <v>1</v>
      </c>
      <c r="I76" s="6" t="str">
        <f>IF(OR(G76="NA",G76="**"),"NA",IF(G76&gt;C76,"Not Met","Met"))</f>
        <v>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0.59789999999999999</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0.1855</v>
      </c>
      <c r="H82" s="55" t="s">
        <v>1</v>
      </c>
      <c r="I82" s="6" t="str">
        <f>IF(OR(G82="NA",G82="**"),"NA",IF(G82&gt;C82,"Not Met","Met"))</f>
        <v>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0.1226</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0.2135</v>
      </c>
      <c r="H88" s="55" t="s">
        <v>1</v>
      </c>
      <c r="I88" s="6" t="str">
        <f>IF(OR(G88="NA",G88="**"),"NA",IF(G88&gt;C88,"Not Met","Met"))</f>
        <v>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0.56859999999999999</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0.29649999999999999</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4.2000000000000003E-2</v>
      </c>
      <c r="H105" s="55" t="s">
        <v>1</v>
      </c>
      <c r="I105" s="6" t="str">
        <f>IF(OR(G105="NA",G105="**"),"NA",IF(G105&gt;C105,"Not Met","Met"))</f>
        <v>Not 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0.3846</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0.53849999999999998</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2.5600000000000001E-2</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0.4783</v>
      </c>
      <c r="H120" s="55" t="s">
        <v>1</v>
      </c>
      <c r="I120" s="6" t="str">
        <f t="shared" ref="I120:I162" si="3">IF(OR(G120="NA",G120="**"),"NA",IF(G120&lt;C120,"Not Met","Met"))</f>
        <v>Not 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0.29630000000000001</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0.54549999999999998</v>
      </c>
      <c r="H128" s="55" t="s">
        <v>1</v>
      </c>
      <c r="I128" s="6" t="str">
        <f t="shared" si="3"/>
        <v>Not 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0.22220000000000001</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0.52629999999999999</v>
      </c>
      <c r="H136" s="55" t="s">
        <v>1</v>
      </c>
      <c r="I136" s="6" t="str">
        <f t="shared" si="3"/>
        <v>Not 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0.29630000000000001</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0.25</v>
      </c>
      <c r="H166" s="55" t="s">
        <v>1</v>
      </c>
      <c r="I166" s="6" t="str">
        <f t="shared" ref="I166" si="5">IF(OR(G166="NA",G166="**"),"NA",IF(G166&lt;C166,"Not Met","Met"))</f>
        <v>Not 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0.2727</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0.63639999999999997</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0.72729999999999995</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Le/1Lwbr3CmzPKc2X1i7dXoJeMAUzuBbOxX0SMR000sOT8toL3lOF9fOIHdbSFZL9zLNMUYQ3Qy2NgYoxml9VA==" saltValue="tQ48HxZzvi/C1fz8rsb4GA=="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68</v>
      </c>
      <c r="B3" s="31"/>
      <c r="C3" s="31"/>
      <c r="D3" s="31"/>
      <c r="E3" s="31"/>
      <c r="F3" s="31"/>
      <c r="G3" s="31"/>
      <c r="H3" s="5"/>
      <c r="I3" s="5"/>
      <c r="J3" s="5"/>
    </row>
    <row r="4" spans="1:10" x14ac:dyDescent="0.2">
      <c r="A4" s="4" t="str">
        <f>VLOOKUP(A3,Data!A:CN,2,FALSE)</f>
        <v>P.O. Box 947</v>
      </c>
    </row>
    <row r="5" spans="1:10" x14ac:dyDescent="0.2">
      <c r="A5" s="4" t="str">
        <f>VLOOKUP(A3,Data!A:CN,3,FALSE)</f>
        <v>Bennettsville</v>
      </c>
      <c r="C5" s="7" t="str">
        <f>VLOOKUP(A3,Data!A:CN,4,FALSE)</f>
        <v>SC</v>
      </c>
      <c r="D5" s="7" t="str">
        <f>VLOOKUP(A3,Data!A:CN,5,FALSE)</f>
        <v>29512</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1</v>
      </c>
      <c r="C14" s="75" t="str">
        <f>IF(B14=0,"2 or more consecutive years of findings of non-compliance (current year and previous year(s))",
IF(B14=1,"Findings of non-compliance in the current year",
IF(B14=2,"No findings of non-compliance","")))</f>
        <v>Findings of non-compliance in the current year</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17</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1</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but improved since last year</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0.4375</v>
      </c>
      <c r="E34" s="18"/>
      <c r="F34" s="18"/>
      <c r="G34" s="18"/>
      <c r="H34" s="18"/>
      <c r="I34" s="18"/>
      <c r="J34" s="18"/>
    </row>
    <row r="35" spans="1:10" ht="11.25" customHeight="1" x14ac:dyDescent="0.2">
      <c r="A35" s="14"/>
      <c r="B35" s="37" t="s">
        <v>451</v>
      </c>
      <c r="C35" s="50">
        <f>VLOOKUP(A3,Data!A:CN,66,FALSE)</f>
        <v>0.47499999999999998</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but improved since last year</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6.8199999999999997E-2</v>
      </c>
      <c r="E42" s="18"/>
      <c r="F42" s="18"/>
      <c r="G42" s="18"/>
      <c r="H42" s="18"/>
      <c r="I42" s="18"/>
      <c r="J42" s="18"/>
    </row>
    <row r="43" spans="1:10" ht="11.25" customHeight="1" x14ac:dyDescent="0.2">
      <c r="A43" s="14"/>
      <c r="B43" s="37" t="s">
        <v>451</v>
      </c>
      <c r="C43" s="50">
        <f>VLOOKUP(A3,Data!A:CN,69,FALSE)</f>
        <v>0.14810000000000001</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but improved since last year</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7.8399999999999997E-2</v>
      </c>
      <c r="E50" s="18"/>
      <c r="F50" s="18"/>
      <c r="G50" s="18"/>
      <c r="H50" s="18"/>
      <c r="I50" s="18"/>
      <c r="J50" s="18"/>
    </row>
    <row r="51" spans="1:10" ht="11.25" customHeight="1" x14ac:dyDescent="0.2">
      <c r="A51" s="14"/>
      <c r="B51" s="37" t="s">
        <v>451</v>
      </c>
      <c r="C51" s="50">
        <f>VLOOKUP(A3,Data!A:CN,72,FALSE)</f>
        <v>9.6799999999999997E-2</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but improved since last year</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2.2700000000000001E-2</v>
      </c>
      <c r="E58" s="18"/>
      <c r="F58" s="18"/>
      <c r="G58" s="18"/>
      <c r="H58" s="18"/>
      <c r="I58" s="18"/>
      <c r="J58" s="18"/>
    </row>
    <row r="59" spans="1:10" ht="11.25" customHeight="1" x14ac:dyDescent="0.2">
      <c r="A59" s="14"/>
      <c r="B59" s="37" t="s">
        <v>451</v>
      </c>
      <c r="C59" s="50">
        <f>VLOOKUP(A3,Data!A:CN,75,FALSE)</f>
        <v>7.4099999999999999E-2</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0.5</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but improved since last year</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1.9199999999999998E-2</v>
      </c>
      <c r="E66" s="18"/>
      <c r="F66" s="18"/>
      <c r="G66" s="18"/>
      <c r="H66" s="18"/>
      <c r="I66" s="18"/>
      <c r="J66" s="18"/>
    </row>
    <row r="67" spans="1:10" ht="11.25" customHeight="1" x14ac:dyDescent="0.2">
      <c r="A67" s="14"/>
      <c r="B67" s="37" t="s">
        <v>451</v>
      </c>
      <c r="C67" s="50">
        <f>VLOOKUP(A3,Data!A:CN,78,FALSE)</f>
        <v>3.2300000000000002E-2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0</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and did not improve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0.59330000000000005</v>
      </c>
      <c r="E74" s="18"/>
      <c r="F74" s="18"/>
      <c r="G74" s="18"/>
      <c r="H74" s="18"/>
      <c r="I74" s="18"/>
      <c r="J74" s="18"/>
    </row>
    <row r="75" spans="1:10" ht="11.25" customHeight="1" x14ac:dyDescent="0.2">
      <c r="A75" s="14"/>
      <c r="B75" s="37" t="s">
        <v>451</v>
      </c>
      <c r="C75" s="50">
        <f>VLOOKUP(A3,Data!A:CN,81,FALSE)</f>
        <v>0.56859999999999999</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0</v>
      </c>
      <c r="C86" s="73" t="str">
        <f>IF(B86=0,"Does not meet prior year’s state performance and did not improve",
IF(B86=1,"Does not meet prior year’s state performance but improved since last year",
IF(B86=2,"Meets or exceeds current year’s state performance",
IF(B86=3,"Meets or exceeds current state target",""))))</f>
        <v>Does not meet prior year’s state performance and did not improve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0.13020000000000001</v>
      </c>
      <c r="E90" s="18"/>
      <c r="F90" s="18"/>
      <c r="G90" s="18"/>
      <c r="H90" s="18"/>
      <c r="I90" s="18"/>
      <c r="J90" s="18"/>
    </row>
    <row r="91" spans="1:10" ht="11.25" customHeight="1" x14ac:dyDescent="0.2">
      <c r="A91" s="14"/>
      <c r="B91" s="37" t="s">
        <v>451</v>
      </c>
      <c r="C91" s="50">
        <f>VLOOKUP(A3,Data!A:CN,87,FALSE)</f>
        <v>0.1976</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0</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and did not improve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v>
      </c>
      <c r="E98" s="18"/>
      <c r="F98" s="18"/>
      <c r="G98" s="18"/>
      <c r="H98" s="18"/>
      <c r="I98" s="18"/>
      <c r="J98" s="18"/>
    </row>
    <row r="99" spans="1:10" ht="11.25" customHeight="1" x14ac:dyDescent="0.2">
      <c r="A99" s="14"/>
      <c r="B99" s="37" t="s">
        <v>451</v>
      </c>
      <c r="C99" s="50">
        <f>VLOOKUP(A3,Data!A:CN,90,FALSE)</f>
        <v>0</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6</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17</v>
      </c>
      <c r="B104" s="79">
        <f>B101</f>
        <v>6</v>
      </c>
      <c r="C104" s="52">
        <f>VLOOKUP(A3,Data!A:CN,91,FALSE) + 1</f>
        <v>1</v>
      </c>
      <c r="D104" s="79">
        <f>SUM(A104:C104)</f>
        <v>24</v>
      </c>
      <c r="E104" s="52">
        <f>VLOOKUP(A3,Data!A:CN,92,FALSE)</f>
        <v>40</v>
      </c>
      <c r="F104" s="28">
        <f>D104/E104</f>
        <v>0.6</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gJyS+76uEBjADzyyxDA1/o/wUcFDbdKuse3MfkpOfFLBcMBpxdQisW4456/dn9aE6EhzMf16IiNQA74ldjIavw==" saltValue="Ym1IWHi4MjPzShsP9z6GFw=="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2024-05-21T12:07:09Z</dcterms:modified>
</cp:coreProperties>
</file>