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AC86E191-24BE-4E8E-A948-4CF9267F899D}" xr6:coauthVersionLast="47" xr6:coauthVersionMax="47" xr10:uidLastSave="{00000000-0000-0000-0000-000000000000}"/>
  <workbookProtection workbookAlgorithmName="SHA-512" workbookHashValue="o82y3+dhaZKH4RfvLau6N9T9HG9+gb5ppq9fd85QjPkQIn0HmeyAkd645OHeiodS0qUC/4/aHyiD72DgHoUU6Q==" workbookSaltValue="9jRxrE6CZEg5VLIv/WaOkw=="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<sst xmlns="http://schemas.openxmlformats.org/spreadsheetml/2006/main" count="1777" uniqueCount="595">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</sst>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0.57889999999999997</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0.61109999999999998</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0.97370000000000001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0.97919999999999996</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0.95740000000000003</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0.2319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4.2599999999999999E-2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0.51349999999999996</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0.1842</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0.18840000000000001</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2.1700000000000001E-2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0.4667</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0.25</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0.25</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0.19189999999999999</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0.45369999999999999</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0.31900000000000001</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0.17199999999999999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0.24129999999999999</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0.25829999999999997</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0.65990000000000004</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0.20749999999999999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0.36359999999999998</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1</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1</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1.44E-2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0.125</c:v>
                </c:pt>
                <c:pt idx="3">
                  <c:v>0.2329</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c:v>
                </c:pt>
                <c:pt idx="3">
                  <c:v>0.44440000000000002</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0.1071</c:v>
                </c:pt>
                <c:pt idx="3">
                  <c:v>0.1918</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0.70309999999999995</c:v>
                </c:pt>
                <c:pt idx="3">
                  <c:v>0.65990000000000004</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0.157</c:v>
                </c:pt>
                <c:pt idx="3">
                  <c:v>0.1585</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0.17899999999999999</c:v>
                </c:pt>
                <c:pt idx="3">
                  <c:v>0.157</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0</c:v>
                </c:pt>
                <c:pt idx="3">
                  <c:v>4.1700000000000001E-2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2.7E-2</c:v>
                </c:pt>
                <c:pt idx="3">
                  <c:v>2.1299999999999999E-2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0.82350000000000001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0.9355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70</v>
      </c>
      <c r="B3" s="31"/>
      <c r="C3" s="31"/>
      <c r="D3" s="31"/>
      <c r="E3" s="31"/>
      <c r="F3" s="31"/>
      <c r="G3" s="31"/>
      <c r="H3" s="31"/>
      <c r="I3" s="31"/>
      <c r="J3" s="31"/>
      <c r="K3" s="31"/>
      <c r="L3" s="31"/>
      <c r="M3" s="31"/>
      <c r="N3" s="31"/>
      <c r="O3" s="5"/>
    </row>
    <row r="4" spans="1:20" s="4" customFormat="1" ht="11.25" x14ac:dyDescent="0.2">
      <c r="A4" s="4" t="str">
        <f>VLOOKUP(A3,Data!A:CN,2,FALSE)</f>
        <v>P.O. Box 718</v>
      </c>
      <c r="C4" s="7"/>
      <c r="E4" s="7"/>
      <c r="F4" s="7"/>
    </row>
    <row r="5" spans="1:20" s="4" customFormat="1" ht="11.25" x14ac:dyDescent="0.2">
      <c r="A5" s="4" t="str">
        <f>VLOOKUP(A3,Data!A:CN,3,FALSE)</f>
        <v>Newberry</v>
      </c>
      <c r="C5" s="7"/>
      <c r="E5" s="7"/>
      <c r="F5" s="7"/>
      <c r="G5" s="7" t="str">
        <f>VLOOKUP(A3,Data!A:CN,4,FALSE)</f>
        <v>SC</v>
      </c>
      <c r="H5" s="7"/>
      <c r="I5" s="7" t="str">
        <f>VLOOKUP(A3,Data!A:CN,5,FALSE)</f>
        <v>29108</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1</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0.97370000000000001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0.97919999999999996</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0.95740000000000003</v>
      </c>
      <c r="H34" s="55" t="s">
        <v>1</v>
      </c>
      <c r="I34" s="6" t="str">
        <f>IF(OR(G34="NA",G34="**"),"NA",IF(G34&lt;C34,"Not Met","Met"))</f>
        <v>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0.2319</v>
      </c>
      <c r="H37" s="55" t="s">
        <v>1</v>
      </c>
      <c r="I37" s="6" t="str">
        <f>IF(OR(G37="NA",G37="**"),"NA",IF(G37&lt;C37,"Not Met","Met"))</f>
        <v>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4.2599999999999999E-2</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0.51349999999999996</v>
      </c>
      <c r="H43" s="55" t="s">
        <v>1</v>
      </c>
      <c r="I43" s="6" t="str">
        <f>IF(OR(G43="NA",G43="**"),"NA",IF(G43&lt;C43,"Not Met","Met"))</f>
        <v>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0.18840000000000001</v>
      </c>
      <c r="H46" s="55" t="s">
        <v>1</v>
      </c>
      <c r="I46" s="6" t="str">
        <f>IF(OR(G46="NA",G46="**"),"NA",IF(G46&lt;C46,"Not Met","Met"))</f>
        <v>Not 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2.1700000000000001E-2</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0.4667</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0.25</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0.25</v>
      </c>
      <c r="H64" s="55" t="s">
        <v>1</v>
      </c>
      <c r="I64" s="6" t="str">
        <f>IF(OR(G64="NA",G64="**"),"NA",IF(G64&lt;C64,"Not Met","Met"))</f>
        <v>Not 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0.19189999999999999</v>
      </c>
      <c r="H73" s="55" t="s">
        <v>1</v>
      </c>
      <c r="I73" s="6" t="str">
        <f>IF(OR(G73="NA",G73="**"),"NA",IF(G73&gt;C73,"Not Met","Met"))</f>
        <v>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0.45369999999999999</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0.31900000000000001</v>
      </c>
      <c r="H79" s="55" t="s">
        <v>1</v>
      </c>
      <c r="I79" s="6" t="str">
        <f>IF(OR(G79="NA",G79="**"),"NA",IF(G79&gt;C79,"Not Met","Met"))</f>
        <v>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0.17199999999999999</v>
      </c>
      <c r="H82" s="55" t="s">
        <v>1</v>
      </c>
      <c r="I82" s="6" t="str">
        <f>IF(OR(G82="NA",G82="**"),"NA",IF(G82&gt;C82,"Not Met","Met"))</f>
        <v>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0.24129999999999999</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0.25829999999999997</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0.65990000000000004</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0.20749999999999999</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1.44E-2</v>
      </c>
      <c r="H105" s="55" t="s">
        <v>1</v>
      </c>
      <c r="I105" s="6" t="str">
        <f>IF(OR(G105="NA",G105="**"),"NA",IF(G105&gt;C105,"Not Met","Met"))</f>
        <v>Not 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0.57889999999999997</v>
      </c>
      <c r="H109" s="55" t="s">
        <v>1</v>
      </c>
      <c r="I109" s="6" t="str">
        <f>IF(OR(G109="NA",G109="**"),"NA",IF(G109&lt;C109,"Not Met","Met"))</f>
        <v>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0.1842</v>
      </c>
      <c r="H112" s="55" t="s">
        <v>1</v>
      </c>
      <c r="I112" s="6" t="str">
        <f>IF(OR(G112="NA",G112="**"),"NA",IF(G112&gt;C112,"Not Met","Met"))</f>
        <v>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1</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0.82350000000000001</v>
      </c>
      <c r="H128" s="55" t="s">
        <v>1</v>
      </c>
      <c r="I128" s="6" t="str">
        <f t="shared" si="3"/>
        <v>Not 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v>
      </c>
      <c r="H132" s="55" t="s">
        <v>1</v>
      </c>
      <c r="I132" s="6" t="str">
        <f t="shared" si="3"/>
        <v>Not 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0.9355</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0.61109999999999998</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0.36359999999999998</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1</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1</v>
      </c>
      <c r="H179" s="55" t="s">
        <v>1</v>
      </c>
      <c r="I179" s="6" t="str">
        <f t="shared" ref="I179" si="7">IF(OR(G179="NA",G179="**"),"NA",IF(G179&lt;C179,"Not Met","Met"))</f>
        <v>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qMKCfI2zdnLmlD9wr3CzrfNAiVvdMtHmdWteBqtE5ZiR0HytSP0aK2monfSUT46y7mfC+l/MaOTVT/v6LZ+uXQ==" saltValue="V9cZFifKFjYutBflpW9alg=="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70</v>
      </c>
      <c r="B3" s="31"/>
      <c r="C3" s="31"/>
      <c r="D3" s="31"/>
      <c r="E3" s="31"/>
      <c r="F3" s="31"/>
      <c r="G3" s="31"/>
      <c r="H3" s="5"/>
      <c r="I3" s="5"/>
      <c r="J3" s="5"/>
    </row>
    <row r="4" spans="1:10" x14ac:dyDescent="0.2">
      <c r="A4" s="4" t="str">
        <f>VLOOKUP(A3,Data!A:CN,2,FALSE)</f>
        <v>P.O. Box 718</v>
      </c>
    </row>
    <row r="5" spans="1:10" x14ac:dyDescent="0.2">
      <c r="A5" s="4" t="str">
        <f>VLOOKUP(A3,Data!A:CN,3,FALSE)</f>
        <v>Newberry</v>
      </c>
      <c r="C5" s="7" t="str">
        <f>VLOOKUP(A3,Data!A:CN,4,FALSE)</f>
        <v>SC</v>
      </c>
      <c r="D5" s="7" t="str">
        <f>VLOOKUP(A3,Data!A:CN,5,FALSE)</f>
        <v>29108</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v>
      </c>
      <c r="E34" s="18"/>
      <c r="F34" s="18"/>
      <c r="G34" s="18"/>
      <c r="H34" s="18"/>
      <c r="I34" s="18"/>
      <c r="J34" s="18"/>
    </row>
    <row r="35" spans="1:10" ht="11.25" customHeight="1" x14ac:dyDescent="0.2">
      <c r="A35" s="14"/>
      <c r="B35" s="37" t="s">
        <v>451</v>
      </c>
      <c r="C35" s="50">
        <f>VLOOKUP(A3,Data!A:CN,66,FALSE)</f>
        <v>0.44440000000000002</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1</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Meets or exceeds current year’s state performance</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0.125</v>
      </c>
      <c r="E42" s="18"/>
      <c r="F42" s="18"/>
      <c r="G42" s="18"/>
      <c r="H42" s="18"/>
      <c r="I42" s="18"/>
      <c r="J42" s="18"/>
    </row>
    <row r="43" spans="1:10" ht="11.25" customHeight="1" x14ac:dyDescent="0.2">
      <c r="A43" s="14"/>
      <c r="B43" s="37" t="s">
        <v>451</v>
      </c>
      <c r="C43" s="50">
        <f>VLOOKUP(A3,Data!A:CN,69,FALSE)</f>
        <v>0.2329</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0.5</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but improved since last year</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0</v>
      </c>
      <c r="E50" s="18"/>
      <c r="F50" s="18"/>
      <c r="G50" s="18"/>
      <c r="H50" s="18"/>
      <c r="I50" s="18"/>
      <c r="J50" s="18"/>
    </row>
    <row r="51" spans="1:10" ht="11.25" customHeight="1" x14ac:dyDescent="0.2">
      <c r="A51" s="14"/>
      <c r="B51" s="37" t="s">
        <v>451</v>
      </c>
      <c r="C51" s="50">
        <f>VLOOKUP(A3,Data!A:CN,72,FALSE)</f>
        <v>4.1700000000000001E-2</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0.5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Does not meet prior year’s state performance but improved since last year</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0.1071</v>
      </c>
      <c r="E58" s="18"/>
      <c r="F58" s="18"/>
      <c r="G58" s="18"/>
      <c r="H58" s="18"/>
      <c r="I58" s="18"/>
      <c r="J58" s="18"/>
    </row>
    <row r="59" spans="1:10" ht="11.25" customHeight="1" x14ac:dyDescent="0.2">
      <c r="A59" s="14"/>
      <c r="B59" s="37" t="s">
        <v>451</v>
      </c>
      <c r="C59" s="50">
        <f>VLOOKUP(A3,Data!A:CN,75,FALSE)</f>
        <v>0.1918</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2.7E-2</v>
      </c>
      <c r="E66" s="18"/>
      <c r="F66" s="18"/>
      <c r="G66" s="18"/>
      <c r="H66" s="18"/>
      <c r="I66" s="18"/>
      <c r="J66" s="18"/>
    </row>
    <row r="67" spans="1:10" ht="11.25" customHeight="1" x14ac:dyDescent="0.2">
      <c r="A67" s="14"/>
      <c r="B67" s="37" t="s">
        <v>451</v>
      </c>
      <c r="C67" s="50">
        <f>VLOOKUP(A3,Data!A:CN,78,FALSE)</f>
        <v>2.1299999999999999E-2</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2</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year’s state performance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0.70309999999999995</v>
      </c>
      <c r="E74" s="18"/>
      <c r="F74" s="18"/>
      <c r="G74" s="18"/>
      <c r="H74" s="18"/>
      <c r="I74" s="18"/>
      <c r="J74" s="18"/>
    </row>
    <row r="75" spans="1:10" ht="11.25" customHeight="1" x14ac:dyDescent="0.2">
      <c r="A75" s="14"/>
      <c r="B75" s="37" t="s">
        <v>451</v>
      </c>
      <c r="C75" s="50">
        <f>VLOOKUP(A3,Data!A:CN,81,FALSE)</f>
        <v>0.65990000000000004</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0.157</v>
      </c>
      <c r="E90" s="18"/>
      <c r="F90" s="18"/>
      <c r="G90" s="18"/>
      <c r="H90" s="18"/>
      <c r="I90" s="18"/>
      <c r="J90" s="18"/>
    </row>
    <row r="91" spans="1:10" ht="11.25" customHeight="1" x14ac:dyDescent="0.2">
      <c r="A91" s="14"/>
      <c r="B91" s="37" t="s">
        <v>451</v>
      </c>
      <c r="C91" s="50">
        <f>VLOOKUP(A3,Data!A:CN,87,FALSE)</f>
        <v>0.1585</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0</v>
      </c>
      <c r="C94" s="73" t="str">
        <f>IF(B94=0,"Does not meet prior year’s state performance and did not improve",
IF(B94=1,"Does not meet prior year’s state performance but improved since last year",
IF(B94=2,"Meets or exceeds current year’s state performance",
IF(B94=3,"Meets or exceeds current state target",""))))</f>
        <v>Does not meet prior year’s state performance and did not improve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0.17899999999999999</v>
      </c>
      <c r="E98" s="18"/>
      <c r="F98" s="18"/>
      <c r="G98" s="18"/>
      <c r="H98" s="18"/>
      <c r="I98" s="18"/>
      <c r="J98" s="18"/>
    </row>
    <row r="99" spans="1:10" ht="11.25" customHeight="1" x14ac:dyDescent="0.2">
      <c r="A99" s="14"/>
      <c r="B99" s="37" t="s">
        <v>451</v>
      </c>
      <c r="C99" s="50">
        <f>VLOOKUP(A3,Data!A:CN,90,FALSE)</f>
        <v>0.157</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10</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10</v>
      </c>
      <c r="C104" s="52">
        <f>VLOOKUP(A3,Data!A:CN,91,FALSE) + 1</f>
        <v>1</v>
      </c>
      <c r="D104" s="79">
        <f>SUM(A104:C104)</f>
        <v>29</v>
      </c>
      <c r="E104" s="52">
        <f>VLOOKUP(A3,Data!A:CN,92,FALSE)</f>
        <v>40</v>
      </c>
      <c r="F104" s="28">
        <f>D104/E104</f>
        <v>0.72499999999999998</v>
      </c>
      <c r="G104" s="51" t="str">
        <f>IF(F104&gt;=0.8,"Meets Requirement",
IF(F104&gt;=0.6,"Needs Assistance",
IF(F104&gt;=0.3,"Needs Intervenion",
IF(F104&lt;0.3,"Needs Substantial Intervention","NA"))))</f>
        <v>Needs Assistance</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d79l4TylwdCZKWJubBvDCBz3q0Pe5cxNHhdKpyeY2gF0TdKKFcfcDH+PZbxJMvF0xKav4ydbwXQmsf+UV0MsPA==" saltValue="tNIaMBvIvwIeFG0pbql40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2024-05-21T12:07:10Z</dcterms:modified>
</cp:coreProperties>
</file>