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0CDFE637-F176-4026-A11F-4B1AEBD1FA1B}" xr6:coauthVersionLast="47" xr6:coauthVersionMax="47" xr10:uidLastSave="{00000000-0000-0000-0000-000000000000}"/>
  <workbookProtection workbookAlgorithmName="SHA-512" workbookHashValue="oND28m8Tg0RDRA4Q2t3Qrfh0IuTXpuRhVQ74VKfjySxdygILWw3qOUr7bk3w8tt6QrVDTyAyqzpiz110U8FuKw==" workbookSaltValue="JNcNSH7+O9NAU8lFpP0a5A=="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<sst xmlns="http://schemas.openxmlformats.org/spreadsheetml/2006/main" count="1777" uniqueCount="595">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</sst>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0.28129999999999999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0.95650000000000002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0.97219999999999995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0.1429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2.86E-2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0.35709999999999997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0.56669999999999998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9.5200000000000007E-2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2.86E-2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0.23530000000000001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0.66669999999999996</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0.33329999999999999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0.34139999999999998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3.3300000000000003E-2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0.36459999999999998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0.3397</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0.32579999999999998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0.27239999999999998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0.21299999999999999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0.7208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0.12540000000000001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0.1429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0.71430000000000005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0.63329999999999997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0.71430000000000005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0.23810000000000001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0.52380000000000004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8.5000000000000006E-3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0.95650000000000002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0.15790000000000001</c:v>
                </c:pt>
                <c:pt idx="3">
                  <c:v>0.13639999999999999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0.52380000000000004</c:v>
                </c:pt>
                <c:pt idx="3">
                  <c:v>0.73329999999999995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0.13159999999999999</c:v>
                </c:pt>
                <c:pt idx="3">
                  <c:v>9.0899999999999995E-2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0.69120000000000004</c:v>
                </c:pt>
                <c:pt idx="3">
                  <c:v>0.7208</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0.1875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0.1368</c:v>
                </c:pt>
                <c:pt idx="3">
                  <c:v>0.11550000000000001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0.19</c:v>
                </c:pt>
                <c:pt idx="3">
                  <c:v>0.16</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6.6699999999999995E-2</c:v>
                </c:pt>
                <c:pt idx="3">
                  <c:v>7.8899999999999998E-2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6.6699999999999995E-2</c:v>
                </c:pt>
                <c:pt idx="3">
                  <c:v>5.2600000000000001E-2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0.1875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0.72409999999999997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77</v>
      </c>
      <c r="B3" s="31"/>
      <c r="C3" s="31"/>
      <c r="D3" s="31"/>
      <c r="E3" s="31"/>
      <c r="F3" s="31"/>
      <c r="G3" s="31"/>
      <c r="H3" s="31"/>
      <c r="I3" s="31"/>
      <c r="J3" s="31"/>
      <c r="K3" s="31"/>
      <c r="L3" s="31"/>
      <c r="M3" s="31"/>
      <c r="N3" s="31"/>
      <c r="O3" s="5"/>
    </row>
    <row r="4" spans="1:20" s="4" customFormat="1" ht="11.25" x14ac:dyDescent="0.2">
      <c r="A4" s="4" t="str">
        <f>VLOOKUP(A3,Data!A:CN,2,FALSE)</f>
        <v>404 North Wise Road</v>
      </c>
      <c r="C4" s="7"/>
      <c r="E4" s="7"/>
      <c r="F4" s="7"/>
    </row>
    <row r="5" spans="1:20" s="4" customFormat="1" ht="11.25" x14ac:dyDescent="0.2">
      <c r="A5" s="4" t="str">
        <f>VLOOKUP(A3,Data!A:CN,3,FALSE)</f>
        <v>Saluda</v>
      </c>
      <c r="C5" s="7"/>
      <c r="E5" s="7"/>
      <c r="F5" s="7"/>
      <c r="G5" s="7" t="str">
        <f>VLOOKUP(A3,Data!A:CN,4,FALSE)</f>
        <v>SC</v>
      </c>
      <c r="H5" s="7"/>
      <c r="I5" s="7" t="str">
        <f>VLOOKUP(A3,Data!A:CN,5,FALSE)</f>
        <v>29138</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0.52380000000000004</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0.23810000000000001</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0.95650000000000002</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1</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1</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0.95650000000000002</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1</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0.97219999999999995</v>
      </c>
      <c r="H34" s="55" t="s">
        <v>1</v>
      </c>
      <c r="I34" s="6" t="str">
        <f>IF(OR(G34="NA",G34="**"),"NA",IF(G34&lt;C34,"Not Met","Met"))</f>
        <v>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0.1429</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2.86E-2</v>
      </c>
      <c r="H40" s="55" t="s">
        <v>1</v>
      </c>
      <c r="I40" s="6" t="str">
        <f>IF(OR(G40="NA",G40="**"),"NA",IF(G40&lt;C40,"Not Met","Met"))</f>
        <v>Not 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0.35709999999999997</v>
      </c>
      <c r="H43" s="55" t="s">
        <v>1</v>
      </c>
      <c r="I43" s="6" t="str">
        <f>IF(OR(G43="NA",G43="**"),"NA",IF(G43&lt;C43,"Not Met","Met"))</f>
        <v>Not 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9.5200000000000007E-2</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2.86E-2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0.23530000000000001</v>
      </c>
      <c r="H52" s="55" t="s">
        <v>1</v>
      </c>
      <c r="I52" s="6" t="str">
        <f>IF(OR(G52="NA",G52="**"),"NA",IF(G52&lt;C52,"Not Met","Met"))</f>
        <v>Not 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0.66669999999999996</v>
      </c>
      <c r="H58" s="55" t="s">
        <v>1</v>
      </c>
      <c r="I58" s="6" t="str">
        <f>IF(OR(G58="NA",G58="**"),"NA",IF(G58&lt;C58,"Not Met","Met"))</f>
        <v>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1</v>
      </c>
      <c r="H61" s="55" t="s">
        <v>1</v>
      </c>
      <c r="I61" s="6" t="str">
        <f>IF(OR(G61="NA",G61="**"),"NA",IF(G61&lt;C61,"Not Met","Met"))</f>
        <v>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0.33329999999999999</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0.34139999999999998</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0.36459999999999998</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0.3397</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0.32579999999999998</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0.27239999999999998</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0.21299999999999999</v>
      </c>
      <c r="H88" s="55" t="s">
        <v>1</v>
      </c>
      <c r="I88" s="6" t="str">
        <f>IF(OR(G88="NA",G88="**"),"NA",IF(G88&gt;C88,"Not Met","Met"))</f>
        <v>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0.7208</v>
      </c>
      <c r="H99" s="55" t="s">
        <v>1</v>
      </c>
      <c r="I99" s="6" t="str">
        <f t="shared" ref="I99" si="2">IF(OR(G99="NA",G99="**"),"NA",IF(G99&lt;C99,"Not Met","Met"))</f>
        <v>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0.12540000000000001</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8.5000000000000006E-3</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0.2</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0.56669999999999998</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3.3300000000000003E-2</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0.63329999999999997</v>
      </c>
      <c r="H120" s="55" t="s">
        <v>1</v>
      </c>
      <c r="I120" s="6" t="str">
        <f t="shared" ref="I120:I162" si="3">IF(OR(G120="NA",G120="**"),"NA",IF(G120&lt;C120,"Not Met","Met"))</f>
        <v>Not 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0.1875</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0.8</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0.1875</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0.72409999999999997</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0.28129999999999999</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1</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0.1429</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0.71430000000000005</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0.71430000000000005</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8ML1Esyxywyv8pM7GuFfbnVAp8LSpjfpcA1GOQHQ9zfL8erxAW61FW8Xiti0A/wL8qdlXQ+ALeWsFRXbD0I5YQ==" saltValue="xXfH97HM8qOz5lKmhwFLOQ=="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77</v>
      </c>
      <c r="B3" s="31"/>
      <c r="C3" s="31"/>
      <c r="D3" s="31"/>
      <c r="E3" s="31"/>
      <c r="F3" s="31"/>
      <c r="G3" s="31"/>
      <c r="H3" s="5"/>
      <c r="I3" s="5"/>
      <c r="J3" s="5"/>
    </row>
    <row r="4" spans="1:10" x14ac:dyDescent="0.2">
      <c r="A4" s="4" t="str">
        <f>VLOOKUP(A3,Data!A:CN,2,FALSE)</f>
        <v>404 North Wise Road</v>
      </c>
    </row>
    <row r="5" spans="1:10" x14ac:dyDescent="0.2">
      <c r="A5" s="4" t="str">
        <f>VLOOKUP(A3,Data!A:CN,3,FALSE)</f>
        <v>Saluda</v>
      </c>
      <c r="C5" s="7" t="str">
        <f>VLOOKUP(A3,Data!A:CN,4,FALSE)</f>
        <v>SC</v>
      </c>
      <c r="D5" s="7" t="str">
        <f>VLOOKUP(A3,Data!A:CN,5,FALSE)</f>
        <v>29138</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3</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state target</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0.52380000000000004</v>
      </c>
      <c r="E34" s="18"/>
      <c r="F34" s="18"/>
      <c r="G34" s="18"/>
      <c r="H34" s="18"/>
      <c r="I34" s="18"/>
      <c r="J34" s="18"/>
    </row>
    <row r="35" spans="1:10" ht="11.25" customHeight="1" x14ac:dyDescent="0.2">
      <c r="A35" s="14"/>
      <c r="B35" s="37" t="s">
        <v>451</v>
      </c>
      <c r="C35" s="50">
        <f>VLOOKUP(A3,Data!A:CN,66,FALSE)</f>
        <v>0.73329999999999995</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and did not improve</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0.15790000000000001</v>
      </c>
      <c r="E42" s="18"/>
      <c r="F42" s="18"/>
      <c r="G42" s="18"/>
      <c r="H42" s="18"/>
      <c r="I42" s="18"/>
      <c r="J42" s="18"/>
    </row>
    <row r="43" spans="1:10" ht="11.25" customHeight="1" x14ac:dyDescent="0.2">
      <c r="A43" s="14"/>
      <c r="B43" s="37" t="s">
        <v>451</v>
      </c>
      <c r="C43" s="50">
        <f>VLOOKUP(A3,Data!A:CN,69,FALSE)</f>
        <v>0.13639999999999999</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0.5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Does not meet prior year’s state performance but improved since last year</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6.6699999999999995E-2</v>
      </c>
      <c r="E50" s="18"/>
      <c r="F50" s="18"/>
      <c r="G50" s="18"/>
      <c r="H50" s="18"/>
      <c r="I50" s="18"/>
      <c r="J50" s="18"/>
    </row>
    <row r="51" spans="1:10" ht="11.25" customHeight="1" x14ac:dyDescent="0.2">
      <c r="A51" s="14"/>
      <c r="B51" s="37" t="s">
        <v>451</v>
      </c>
      <c r="C51" s="50">
        <f>VLOOKUP(A3,Data!A:CN,72,FALSE)</f>
        <v>7.8899999999999998E-2</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and did not improve</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0.13159999999999999</v>
      </c>
      <c r="E58" s="18"/>
      <c r="F58" s="18"/>
      <c r="G58" s="18"/>
      <c r="H58" s="18"/>
      <c r="I58" s="18"/>
      <c r="J58" s="18"/>
    </row>
    <row r="59" spans="1:10" ht="11.25" customHeight="1" x14ac:dyDescent="0.2">
      <c r="A59" s="14"/>
      <c r="B59" s="37" t="s">
        <v>451</v>
      </c>
      <c r="C59" s="50">
        <f>VLOOKUP(A3,Data!A:CN,75,FALSE)</f>
        <v>9.0899999999999995E-2</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0</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Does not meet prior year’s state performance and did not improve</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6.6699999999999995E-2</v>
      </c>
      <c r="E66" s="18"/>
      <c r="F66" s="18"/>
      <c r="G66" s="18"/>
      <c r="H66" s="18"/>
      <c r="I66" s="18"/>
      <c r="J66" s="18"/>
    </row>
    <row r="67" spans="1:10" ht="11.25" customHeight="1" x14ac:dyDescent="0.2">
      <c r="A67" s="14"/>
      <c r="B67" s="37" t="s">
        <v>451</v>
      </c>
      <c r="C67" s="50">
        <f>VLOOKUP(A3,Data!A:CN,78,FALSE)</f>
        <v>5.2600000000000001E-2</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3</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state target</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0.69120000000000004</v>
      </c>
      <c r="E74" s="18"/>
      <c r="F74" s="18"/>
      <c r="G74" s="18"/>
      <c r="H74" s="18"/>
      <c r="I74" s="18"/>
      <c r="J74" s="18"/>
    </row>
    <row r="75" spans="1:10" ht="11.25" customHeight="1" x14ac:dyDescent="0.2">
      <c r="A75" s="14"/>
      <c r="B75" s="37" t="s">
        <v>451</v>
      </c>
      <c r="C75" s="50">
        <f>VLOOKUP(A3,Data!A:CN,81,FALSE)</f>
        <v>0.7208</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2</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year’s state performance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0.1368</v>
      </c>
      <c r="E90" s="18"/>
      <c r="F90" s="18"/>
      <c r="G90" s="18"/>
      <c r="H90" s="18"/>
      <c r="I90" s="18"/>
      <c r="J90" s="18"/>
    </row>
    <row r="91" spans="1:10" ht="11.25" customHeight="1" x14ac:dyDescent="0.2">
      <c r="A91" s="14"/>
      <c r="B91" s="37" t="s">
        <v>451</v>
      </c>
      <c r="C91" s="50">
        <f>VLOOKUP(A3,Data!A:CN,87,FALSE)</f>
        <v>0.11550000000000001</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0</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and did not improve</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0.19</v>
      </c>
      <c r="E98" s="18"/>
      <c r="F98" s="18"/>
      <c r="G98" s="18"/>
      <c r="H98" s="18"/>
      <c r="I98" s="18"/>
      <c r="J98" s="18"/>
    </row>
    <row r="99" spans="1:10" ht="11.25" customHeight="1" x14ac:dyDescent="0.2">
      <c r="A99" s="14"/>
      <c r="B99" s="37" t="s">
        <v>451</v>
      </c>
      <c r="C99" s="50">
        <f>VLOOKUP(A3,Data!A:CN,90,FALSE)</f>
        <v>0.16</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11.5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18</v>
      </c>
      <c r="B104" s="79">
        <f>B101</f>
        <v>11.5</v>
      </c>
      <c r="C104" s="52">
        <f>VLOOKUP(A3,Data!A:CN,91,FALSE) + 1</f>
        <v>2</v>
      </c>
      <c r="D104" s="79">
        <f>SUM(A104:C104)</f>
        <v>31.5</v>
      </c>
      <c r="E104" s="52">
        <f>VLOOKUP(A3,Data!A:CN,92,FALSE)</f>
        <v>40</v>
      </c>
      <c r="F104" s="28">
        <f>D104/E104</f>
        <v>0.78749999999999998</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jqiI4DixlzwYQKT33j2kgcbIJB64Piwam2BGk3jmYCk2KoZtxpPegMWqX3sRt2voypqDDajXcfA5iWvzRZLADQ==" saltValue="kFzfxAqgAFFr0yXLGfqr8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2024-05-21T12:07:13Z</dcterms:modified>
</cp:coreProperties>
</file>