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63957B09-ECCB-479A-8EBB-0E250FC474C0}" xr6:coauthVersionLast="47" xr6:coauthVersionMax="47" xr10:uidLastSave="{00000000-0000-0000-0000-000000000000}"/>
  <workbookProtection workbookAlgorithmName="SHA-512" workbookHashValue="kstIN7ZMOh2Uj7jy9C7GTBiZ92AziXlCbfjUlqKwzB5lTAr3Mp2s7tiN4YbYr1Ve5UhFGNMwncHOVKCYZ32dPw==" workbookSaltValue="bJNNatnESs6PL3i3yJHnNQ=="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<sst xmlns="http://schemas.openxmlformats.org/spreadsheetml/2006/main" count="1777" uniqueCount="595">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</sst>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0</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NA</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c:v>
                </c:pt>
                <c:pt idx="3">
                  <c:v>0</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NA</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c:v>
                </c:pt>
                <c:pt idx="3">
                  <c:v>0</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NA</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c:v>
                </c:pt>
                <c:pt idx="3">
                  <c:v>0</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NA</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c:v>
                </c:pt>
                <c:pt idx="3">
                  <c:v>0</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NA</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0</c:v>
                </c:pt>
                <c:pt idx="3">
                  <c:v>0</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NA</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c:v>
                </c:pt>
                <c:pt idx="3">
                  <c:v>0</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NA</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0.41699999999999998</c:v>
                </c:pt>
                <c:pt idx="3">
                  <c:v>1</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NA</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c:v>
                </c:pt>
                <c:pt idx="3">
                  <c:v>0</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NA</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0</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0</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275</v>
      </c>
      <c r="B3" s="31"/>
      <c r="C3" s="31"/>
      <c r="D3" s="31"/>
      <c r="E3" s="31"/>
      <c r="F3" s="31"/>
      <c r="G3" s="31"/>
      <c r="H3" s="31"/>
      <c r="I3" s="31"/>
      <c r="J3" s="31"/>
      <c r="K3" s="31"/>
      <c r="L3" s="31"/>
      <c r="M3" s="31"/>
      <c r="N3" s="31"/>
      <c r="O3" s="5"/>
    </row>
    <row r="4" spans="1:20" s="4" customFormat="1" ht="11.25" x14ac:dyDescent="0.2">
      <c r="A4" s="4" t="str">
        <f>VLOOKUP(A3,Data!A:CN,2,FALSE)</f>
        <v>15 University Street</v>
      </c>
      <c r="C4" s="7"/>
      <c r="E4" s="7"/>
      <c r="F4" s="7"/>
    </row>
    <row r="5" spans="1:20" s="4" customFormat="1" ht="11.25" x14ac:dyDescent="0.2">
      <c r="A5" s="4" t="str">
        <f>VLOOKUP(A3,Data!A:CN,3,FALSE)</f>
        <v>Greenville</v>
      </c>
      <c r="C5" s="7"/>
      <c r="E5" s="7"/>
      <c r="F5" s="7"/>
      <c r="G5" s="7" t="str">
        <f>VLOOKUP(A3,Data!A:CN,4,FALSE)</f>
        <v>SC</v>
      </c>
      <c r="H5" s="7"/>
      <c r="I5" s="7" t="str">
        <f>VLOOKUP(A3,Data!A:CN,5,FALSE)</f>
        <v>29601</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t="str">
        <f>+VLOOKUP(A3,Data!A:CN,6,FALSE)</f>
        <v>NA</v>
      </c>
      <c r="H11" s="55" t="s">
        <v>1</v>
      </c>
      <c r="I11" s="6" t="str">
        <f t="shared" ref="I11" si="0">IF(OR(G11="NA",G11="**"),"NA",IF(G11&lt;C11,"Not Met","Met"))</f>
        <v>NA</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t="str">
        <f>+VLOOKUP(A3,Data!A:CN,7,FALSE)</f>
        <v>NA</v>
      </c>
      <c r="H15" s="55" t="s">
        <v>1</v>
      </c>
      <c r="I15" s="6" t="str">
        <f>IF(OR(G15="NA",G15="**"),"NA",IF(G15&gt;C15,"Not Met","Met"))</f>
        <v>NA</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v>
      </c>
      <c r="H19" s="55" t="s">
        <v>1</v>
      </c>
      <c r="I19" s="6" t="str">
        <f>IF(OR(G19="NA",G19="**"),"NA",IF(G19&lt;C19,"Not Met","Met"))</f>
        <v>Not 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v>
      </c>
      <c r="H22" s="55" t="s">
        <v>1</v>
      </c>
      <c r="I22" s="6" t="str">
        <f>IF(OR(G22="NA",G22="**"),"NA",IF(G22&lt;C22,"Not Met","Met"))</f>
        <v>Not 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v>
      </c>
      <c r="H28" s="55" t="s">
        <v>1</v>
      </c>
      <c r="I28" s="6" t="str">
        <f>IF(OR(G28="NA",G28="**"),"NA",IF(G28&lt;C28,"Not Met","Met"))</f>
        <v>Not 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v>
      </c>
      <c r="H31" s="55" t="s">
        <v>1</v>
      </c>
      <c r="I31" s="6" t="str">
        <f>IF(OR(G31="NA",G31="**"),"NA",IF(G31&lt;C31,"Not Met","Met"))</f>
        <v>Not 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v>
      </c>
      <c r="H73" s="55" t="s">
        <v>1</v>
      </c>
      <c r="I73" s="6" t="str">
        <f>IF(OR(G73="NA",G73="**"),"NA",IF(G73&gt;C73,"Not Met","Met"))</f>
        <v>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v>
      </c>
      <c r="H76" s="55" t="s">
        <v>1</v>
      </c>
      <c r="I76" s="6" t="str">
        <f>IF(OR(G76="NA",G76="**"),"NA",IF(G76&gt;C76,"Not Met","Met"))</f>
        <v>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v>
      </c>
      <c r="H82" s="55" t="s">
        <v>1</v>
      </c>
      <c r="I82" s="6" t="str">
        <f>IF(OR(G82="NA",G82="**"),"NA",IF(G82&gt;C82,"Not Met","Met"))</f>
        <v>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v>
      </c>
      <c r="H88" s="55" t="s">
        <v>1</v>
      </c>
      <c r="I88" s="6" t="str">
        <f>IF(OR(G88="NA",G88="**"),"NA",IF(G88&gt;C88,"Not Met","Met"))</f>
        <v>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NA</v>
      </c>
      <c r="H95" s="55" t="s">
        <v>1</v>
      </c>
      <c r="I95" s="6" t="str">
        <f>IF(OR(G95="NA",G95="**"),"NA",IF(G95="No","Met",IF(G95="Yes","Not Met")))</f>
        <v>NA</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t="str">
        <f>+VLOOKUP(A3,Data!A:CN,34,FALSE)</f>
        <v>NA</v>
      </c>
      <c r="H99" s="55" t="s">
        <v>1</v>
      </c>
      <c r="I99" s="6" t="str">
        <f t="shared" ref="I99" si="2">IF(OR(G99="NA",G99="**"),"NA",IF(G99&lt;C99,"Not Met","Met"))</f>
        <v>NA</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t="str">
        <f>+VLOOKUP(A3,Data!A:CN,35,FALSE)</f>
        <v>NA</v>
      </c>
      <c r="H102" s="55" t="s">
        <v>1</v>
      </c>
      <c r="I102" s="6" t="str">
        <f>IF(OR(G102="NA",G102="**"),"NA",IF(G102&gt;C102,"Not Met","Met"))</f>
        <v>NA</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t="str">
        <f>+VLOOKUP(A3,Data!A:CN,36,FALSE)</f>
        <v>NA</v>
      </c>
      <c r="H105" s="55" t="s">
        <v>1</v>
      </c>
      <c r="I105" s="6" t="str">
        <f>IF(OR(G105="NA",G105="**"),"NA",IF(G105&gt;C105,"Not Met","Met"))</f>
        <v>NA</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t="str">
        <f>+VLOOKUP(A3,Data!A:CN,37,FALSE)</f>
        <v>NA</v>
      </c>
      <c r="H109" s="55" t="s">
        <v>1</v>
      </c>
      <c r="I109" s="6" t="str">
        <f>IF(OR(G109="NA",G109="**"),"NA",IF(G109&lt;C109,"Not Met","Met"))</f>
        <v>NA</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t="str">
        <f>+VLOOKUP(A3,Data!A:CN,38,FALSE)</f>
        <v>NA</v>
      </c>
      <c r="H112" s="55" t="s">
        <v>1</v>
      </c>
      <c r="I112" s="6" t="str">
        <f>IF(OR(G112="NA",G112="**"),"NA",IF(G112&gt;C112,"Not Met","Met"))</f>
        <v>NA</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t="str">
        <f>+VLOOKUP(A3,Data!A:CN,39,FALSE)</f>
        <v>NA</v>
      </c>
      <c r="H115" s="55" t="s">
        <v>1</v>
      </c>
      <c r="I115" s="6" t="str">
        <f>IF(OR(G115="NA",G115="**"),"NA",IF(G115&gt;C115,"Not Met","Met"))</f>
        <v>NA</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t="str">
        <f>+VLOOKUP(A3,Data!A:CN,40,FALSE)</f>
        <v>NA</v>
      </c>
      <c r="H120" s="55" t="s">
        <v>1</v>
      </c>
      <c r="I120" s="6" t="str">
        <f t="shared" ref="I120:I162" si="3">IF(OR(G120="NA",G120="**"),"NA",IF(G120&lt;C120,"Not Met","Met"))</f>
        <v>NA</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t="str">
        <f>+VLOOKUP(A3,Data!A:CN,41,FALSE)</f>
        <v>NA</v>
      </c>
      <c r="H124" s="55" t="s">
        <v>1</v>
      </c>
      <c r="I124" s="6" t="str">
        <f t="shared" si="3"/>
        <v>NA</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t="str">
        <f>+VLOOKUP(A3,Data!A:CN,42,FALSE)</f>
        <v>NA</v>
      </c>
      <c r="H128" s="55" t="s">
        <v>1</v>
      </c>
      <c r="I128" s="6" t="str">
        <f t="shared" si="3"/>
        <v>NA</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t="str">
        <f>+VLOOKUP(A3,Data!A:CN,43,FALSE)</f>
        <v>NA</v>
      </c>
      <c r="H132" s="55" t="s">
        <v>1</v>
      </c>
      <c r="I132" s="6" t="str">
        <f t="shared" si="3"/>
        <v>NA</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t="str">
        <f>+VLOOKUP(A3,Data!A:CN,44,FALSE)</f>
        <v>NA</v>
      </c>
      <c r="H136" s="55" t="s">
        <v>1</v>
      </c>
      <c r="I136" s="6" t="str">
        <f t="shared" si="3"/>
        <v>NA</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t="str">
        <f>+VLOOKUP(A3,Data!A:CN,45,FALSE)</f>
        <v>NA</v>
      </c>
      <c r="H140" s="55" t="s">
        <v>1</v>
      </c>
      <c r="I140" s="6" t="str">
        <f t="shared" si="3"/>
        <v>NA</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t="str">
        <f>+VLOOKUP(A3,Data!A:CN,46,FALSE)</f>
        <v>NA</v>
      </c>
      <c r="H144" s="55" t="s">
        <v>1</v>
      </c>
      <c r="I144" s="6" t="str">
        <f t="shared" ref="I144" si="4">IF(OR(G144="NA",G144="**"),"NA",IF(G144&lt;C144,"Not Met","Met"))</f>
        <v>NA</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NA</v>
      </c>
      <c r="H153" s="55" t="s">
        <v>1</v>
      </c>
      <c r="I153" s="6" t="str">
        <f>IF(OR(G153="NA",G153="**"),"NA",IF(G153="No","Met",IF(G153="Yes","Not Met")))</f>
        <v>NA</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t="str">
        <f>+VLOOKUP(A3,Data!A:CN,49,FALSE)</f>
        <v>NA</v>
      </c>
      <c r="H157" s="55" t="s">
        <v>1</v>
      </c>
      <c r="I157" s="6" t="str">
        <f>IF(OR(G157="NA",G157="**"),"NA",IF(G157&lt;C157,"Not Met","Met"))</f>
        <v>NA</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t="str">
        <f>+VLOOKUP(A3,Data!A:CN,50,FALSE)</f>
        <v>NA</v>
      </c>
      <c r="H162" s="55" t="s">
        <v>1</v>
      </c>
      <c r="I162" s="6" t="str">
        <f t="shared" si="3"/>
        <v>NA</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t="str">
        <f>+VLOOKUP(A3,Data!A:CN,52,FALSE)</f>
        <v>NA</v>
      </c>
      <c r="H171" s="55" t="s">
        <v>1</v>
      </c>
      <c r="I171" s="6" t="str">
        <f t="shared" ref="I171" si="6">IF(OR(G171="NA",G171="**"),"NA",IF(G171&lt;C171,"Not Met","Met"))</f>
        <v>NA</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t="str">
        <f>+VLOOKUP(A3,Data!A:CN,53,FALSE)</f>
        <v>NA</v>
      </c>
      <c r="H175" s="55" t="s">
        <v>1</v>
      </c>
      <c r="I175" s="6" t="str">
        <f>IF(OR(G175="NA",G175="**"),"NA",IF(G175&lt;C175,"Not Met","Met"))</f>
        <v>NA</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t="str">
        <f>+VLOOKUP(A3,Data!A:CN,54,FALSE)</f>
        <v>NA</v>
      </c>
      <c r="H179" s="55" t="s">
        <v>1</v>
      </c>
      <c r="I179" s="6" t="str">
        <f t="shared" ref="I179" si="7">IF(OR(G179="NA",G179="**"),"NA",IF(G179&lt;C179,"Not Met","Met"))</f>
        <v>NA</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KlHKfyvHhxlDeA7DmvF+opx6OmpzrFnxFkv1iXHXztnkEMMn2M+/p+ysWIYyPW8sn5RVX6fPmRP6+eq4oT4hcg==" saltValue="l5IrvnEb6BVW4iLvsxb75Q=="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275</v>
      </c>
      <c r="B3" s="31"/>
      <c r="C3" s="31"/>
      <c r="D3" s="31"/>
      <c r="E3" s="31"/>
      <c r="F3" s="31"/>
      <c r="G3" s="31"/>
      <c r="H3" s="5"/>
      <c r="I3" s="5"/>
      <c r="J3" s="5"/>
    </row>
    <row r="4" spans="1:10" x14ac:dyDescent="0.2">
      <c r="A4" s="4" t="str">
        <f>VLOOKUP(A3,Data!A:CN,2,FALSE)</f>
        <v>15 University Street</v>
      </c>
    </row>
    <row r="5" spans="1:10" x14ac:dyDescent="0.2">
      <c r="A5" s="4" t="str">
        <f>VLOOKUP(A3,Data!A:CN,3,FALSE)</f>
        <v>Greenville</v>
      </c>
      <c r="C5" s="7" t="str">
        <f>VLOOKUP(A3,Data!A:CN,4,FALSE)</f>
        <v>SC</v>
      </c>
      <c r="D5" s="7" t="str">
        <f>VLOOKUP(A3,Data!A:CN,5,FALSE)</f>
        <v>29601</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t="str">
        <f>VLOOKUP(A3,Data!A:CN,59,FALSE)</f>
        <v>NA</v>
      </c>
      <c r="C18" s="73" t="str">
        <f>IF(B18=0,"2 or more consecutive years of findings of non-compliance (current year and previous year(s))",
IF(B18=1,"Findings of non-compliance in the current year",
IF(B18=2,"No findings of non-compliance","")))</f>
        <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t="str">
        <f>VLOOKUP(A3,Data!A:CN,60,FALSE)</f>
        <v>NA</v>
      </c>
      <c r="C20" s="73" t="str">
        <f>IF(B20=0,"2 or more consecutive years of findings of non-compliance (current year and previous year(s))",
IF(B20=1,"Findings of non-compliance in the current year",
IF(B20=2,"No findings of non-compliance","")))</f>
        <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t="str">
        <f>VLOOKUP(A3,Data!A:CN,61,FALSE)</f>
        <v>NA</v>
      </c>
      <c r="C22" s="76" t="str">
        <f>IF(B22=0,"2 or more consecutive years of findings of non-compliance (current year and previous year(s))",
IF(B22=1,"Findings of non-compliance in the current year",
IF(B22=2,"No findings of non-compliance","")))</f>
        <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t="str">
        <f>VLOOKUP(A3,Data!A:CN,63,FALSE)</f>
        <v>NA</v>
      </c>
      <c r="C26" s="76" t="str">
        <f>IF(B26=0,"2 or more consecutive years of findings of non-compliance (current year and previous year(s))",
IF(B26=1,"Findings of non-compliance in the current year",
IF(B26=2,"No findings of non-compliance","")))</f>
        <v/>
      </c>
      <c r="D26" s="66"/>
      <c r="E26" s="66"/>
      <c r="F26" s="66"/>
      <c r="G26" s="66"/>
      <c r="H26" s="66"/>
      <c r="I26" s="66"/>
      <c r="J26" s="66"/>
    </row>
    <row r="27" spans="1:10" ht="21.95" customHeight="1" x14ac:dyDescent="0.2">
      <c r="A27" s="42" t="s">
        <v>15</v>
      </c>
      <c r="B27" s="35">
        <f>SUM(B10,B12,B14,B16,B18,B20,B22,B24,B26)</f>
        <v>10</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t="str">
        <f>VLOOKUP(A3,Data!A:CN,64,FALSE)</f>
        <v>NA</v>
      </c>
      <c r="C30" s="73" t="str">
        <f>IF(B30=0,"Does not meet prior year’s state performance and did not improve",
IF(B30=1,"Does not meet prior year’s state performance but improved since last year",
IF(B30=2,"Meets or exceeds current year’s state performance",
IF(B30=3,"Meets or exceeds current state target",""))))</f>
        <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t="str">
        <f>VLOOKUP(A3,Data!A:CN,65,FALSE)</f>
        <v>NA</v>
      </c>
      <c r="E34" s="18"/>
      <c r="F34" s="18"/>
      <c r="G34" s="18"/>
      <c r="H34" s="18"/>
      <c r="I34" s="18"/>
      <c r="J34" s="18"/>
    </row>
    <row r="35" spans="1:10" ht="11.25" customHeight="1" x14ac:dyDescent="0.2">
      <c r="A35" s="14"/>
      <c r="B35" s="37" t="s">
        <v>451</v>
      </c>
      <c r="C35" s="50" t="str">
        <f>VLOOKUP(A3,Data!A:CN,66,FALSE)</f>
        <v>NA</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t="str">
        <f>VLOOKUP(A3,Data!A:CN,67,FALSE)</f>
        <v>NA</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t="str">
        <f>VLOOKUP(A3,Data!A:CN,68,FALSE)</f>
        <v>NA</v>
      </c>
      <c r="E42" s="18"/>
      <c r="F42" s="18"/>
      <c r="G42" s="18"/>
      <c r="H42" s="18"/>
      <c r="I42" s="18"/>
      <c r="J42" s="18"/>
    </row>
    <row r="43" spans="1:10" ht="11.25" customHeight="1" x14ac:dyDescent="0.2">
      <c r="A43" s="14"/>
      <c r="B43" s="37" t="s">
        <v>451</v>
      </c>
      <c r="C43" s="50" t="str">
        <f>VLOOKUP(A3,Data!A:CN,69,FALSE)</f>
        <v>NA</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t="str">
        <f>VLOOKUP(A3,Data!A:CN,70,FALSE)</f>
        <v>NA</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t="str">
        <f>VLOOKUP(A3,Data!A:CN,71,FALSE)</f>
        <v>NA</v>
      </c>
      <c r="E50" s="18"/>
      <c r="F50" s="18"/>
      <c r="G50" s="18"/>
      <c r="H50" s="18"/>
      <c r="I50" s="18"/>
      <c r="J50" s="18"/>
    </row>
    <row r="51" spans="1:10" ht="11.25" customHeight="1" x14ac:dyDescent="0.2">
      <c r="A51" s="14"/>
      <c r="B51" s="37" t="s">
        <v>451</v>
      </c>
      <c r="C51" s="50" t="str">
        <f>VLOOKUP(A3,Data!A:CN,72,FALSE)</f>
        <v>NA</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t="str">
        <f>VLOOKUP(A3,Data!A:CN,73,FALSE)</f>
        <v>NA</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t="str">
        <f>VLOOKUP(A3,Data!A:CN,74,FALSE)</f>
        <v>NA</v>
      </c>
      <c r="E58" s="18"/>
      <c r="F58" s="18"/>
      <c r="G58" s="18"/>
      <c r="H58" s="18"/>
      <c r="I58" s="18"/>
      <c r="J58" s="18"/>
    </row>
    <row r="59" spans="1:10" ht="11.25" customHeight="1" x14ac:dyDescent="0.2">
      <c r="A59" s="14"/>
      <c r="B59" s="37" t="s">
        <v>451</v>
      </c>
      <c r="C59" s="50" t="str">
        <f>VLOOKUP(A3,Data!A:CN,75,FALSE)</f>
        <v>NA</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t="str">
        <f>VLOOKUP(A3,Data!A:CN,76,FALSE)</f>
        <v>NA</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t="str">
        <f>VLOOKUP(A3,Data!A:CN,77,FALSE)</f>
        <v>NA</v>
      </c>
      <c r="E66" s="18"/>
      <c r="F66" s="18"/>
      <c r="G66" s="18"/>
      <c r="H66" s="18"/>
      <c r="I66" s="18"/>
      <c r="J66" s="18"/>
    </row>
    <row r="67" spans="1:10" ht="11.25" customHeight="1" x14ac:dyDescent="0.2">
      <c r="A67" s="14"/>
      <c r="B67" s="37" t="s">
        <v>451</v>
      </c>
      <c r="C67" s="50" t="str">
        <f>VLOOKUP(A3,Data!A:CN,78,FALSE)</f>
        <v>NA</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t="str">
        <f>VLOOKUP(A3,Data!A:CN,79,FALSE)</f>
        <v>NA</v>
      </c>
      <c r="C70" s="73" t="str">
        <f>IF(B70=0,"Does not meet prior year’s state performance and did not improve",
IF(B70=1,"Does not meet prior year’s state performance but improved since last year",
IF(B70=2,"Meets or exceeds current year’s state performance",
IF(B70=3,"Meets or exceeds current state target",""))))</f>
        <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t="str">
        <f>VLOOKUP(A3,Data!A:CN,80,FALSE)</f>
        <v>NA</v>
      </c>
      <c r="E74" s="18"/>
      <c r="F74" s="18"/>
      <c r="G74" s="18"/>
      <c r="H74" s="18"/>
      <c r="I74" s="18"/>
      <c r="J74" s="18"/>
    </row>
    <row r="75" spans="1:10" ht="11.25" customHeight="1" x14ac:dyDescent="0.2">
      <c r="A75" s="14"/>
      <c r="B75" s="37" t="s">
        <v>451</v>
      </c>
      <c r="C75" s="50" t="str">
        <f>VLOOKUP(A3,Data!A:CN,81,FALSE)</f>
        <v>NA</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t="str">
        <f>VLOOKUP(A3,Data!A:CN,82,FALSE)</f>
        <v>NA</v>
      </c>
      <c r="C78" s="73" t="str">
        <f>IF(B78=0,"Does not meet prior year’s state performance and did not improve",
IF(B78=1,"Does not meet prior year’s state performance but improved since last year",
IF(B78=2,"Meets or exceeds current year’s state performance",
IF(B78=3,"Meets or exceeds current state target",""))))</f>
        <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t="str">
        <f>VLOOKUP(A3,Data!A:CN,83,FALSE)</f>
        <v>NA</v>
      </c>
      <c r="E82" s="18"/>
      <c r="F82" s="18"/>
      <c r="G82" s="18"/>
      <c r="H82" s="18"/>
      <c r="I82" s="18"/>
      <c r="J82" s="18"/>
    </row>
    <row r="83" spans="1:10" ht="11.25" customHeight="1" x14ac:dyDescent="0.2">
      <c r="A83" s="14"/>
      <c r="B83" s="37" t="s">
        <v>451</v>
      </c>
      <c r="C83" s="50" t="str">
        <f>VLOOKUP(A3,Data!A:CN,84,FALSE)</f>
        <v>NA</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t="str">
        <f>VLOOKUP(A3,Data!A:CN,85,FALSE)</f>
        <v>NA</v>
      </c>
      <c r="C86" s="73" t="str">
        <f>IF(B86=0,"Does not meet prior year’s state performance and did not improve",
IF(B86=1,"Does not meet prior year’s state performance but improved since last year",
IF(B86=2,"Meets or exceeds current year’s state performance",
IF(B86=3,"Meets or exceeds current state target",""))))</f>
        <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t="str">
        <f>VLOOKUP(A3,Data!A:CN,86,FALSE)</f>
        <v>NA</v>
      </c>
      <c r="E90" s="18"/>
      <c r="F90" s="18"/>
      <c r="G90" s="18"/>
      <c r="H90" s="18"/>
      <c r="I90" s="18"/>
      <c r="J90" s="18"/>
    </row>
    <row r="91" spans="1:10" ht="11.25" customHeight="1" x14ac:dyDescent="0.2">
      <c r="A91" s="14"/>
      <c r="B91" s="37" t="s">
        <v>451</v>
      </c>
      <c r="C91" s="50" t="str">
        <f>VLOOKUP(A3,Data!A:CN,87,FALSE)</f>
        <v>NA</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3</v>
      </c>
      <c r="C94" s="73" t="str">
        <f>IF(B94=0,"Does not meet prior year’s state performance and did not improve",
IF(B94=1,"Does not meet prior year’s state performance but improved since last year",
IF(B94=2,"Meets or exceeds current year’s state performance",
IF(B94=3,"Meets or exceeds current state target",""))))</f>
        <v>Meets or exceeds current state target</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0.41699999999999998</v>
      </c>
      <c r="E98" s="18"/>
      <c r="F98" s="18"/>
      <c r="G98" s="18"/>
      <c r="H98" s="18"/>
      <c r="I98" s="18"/>
      <c r="J98" s="18"/>
    </row>
    <row r="99" spans="1:10" ht="11.25" customHeight="1" x14ac:dyDescent="0.2">
      <c r="A99" s="14"/>
      <c r="B99" s="37" t="s">
        <v>451</v>
      </c>
      <c r="C99" s="50">
        <f>VLOOKUP(A3,Data!A:CN,90,FALSE)</f>
        <v>1</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3</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10</v>
      </c>
      <c r="B104" s="79">
        <f>B101</f>
        <v>3</v>
      </c>
      <c r="C104" s="52">
        <f>VLOOKUP(A3,Data!A:CN,91,FALSE) + 1</f>
        <v>1</v>
      </c>
      <c r="D104" s="79">
        <f>SUM(A104:C104)</f>
        <v>14</v>
      </c>
      <c r="E104" s="52">
        <f>VLOOKUP(A3,Data!A:CN,92,FALSE)</f>
        <v>14</v>
      </c>
      <c r="F104" s="28">
        <f>D104/E104</f>
        <v>1</v>
      </c>
      <c r="G104" s="51" t="str">
        <f>IF(F104&gt;=0.8,"Meets Requirement",
IF(F104&gt;=0.6,"Needs Assistance",
IF(F104&gt;=0.3,"Needs Intervenion",
IF(F104&lt;0.3,"Needs Substantial Intervention","NA"))))</f>
        <v>Meets Requirement</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hTZhnzcUeAnsn62sT+P4dFnFMOaAWA6yL572UpDGwfldUclMWQvxOGEJ8XEIV+9LTpQiRuKN3doUoBYFgEKCyw==" saltValue="prxdHkquXl2YfcarWYqpl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2024-05-21T12:07:15Z</dcterms:modified>
</cp:coreProperties>
</file>