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8CE843B3-718F-4A84-8A28-32652FD9E5D3}" xr6:coauthVersionLast="47" xr6:coauthVersionMax="47" xr10:uidLastSave="{00000000-0000-0000-0000-000000000000}"/>
  <workbookProtection workbookAlgorithmName="SHA-512" workbookHashValue="7rE/aE7+O8PiWj3wzYGCWYb3pSJDo+duybHE+tUV+qb6UXqXWGP1mXKlfu+1kkDZPNHbNq2HMeXr8iL+/0tkkg==" workbookSaltValue="cHIAnV27xuDBDco0f1obHw=="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<sst xmlns="http://schemas.openxmlformats.org/spreadsheetml/2006/main" count="1777" uniqueCount="595">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</sst>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0.51690000000000003</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0.191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0.16850000000000001</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0.87229999999999996</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0.89580000000000004</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0.53569999999999995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0.90239999999999998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0.9355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0.60709999999999997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0.85709999999999997</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0.99470000000000003</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0.94169999999999998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0.94340000000000002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0.2626</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0.1983</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0.51580000000000004</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0.29609999999999997</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0.1293</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0.57779999999999998</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0.2</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0.3</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0.3</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0.3</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0.38340000000000002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0.4108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0.37159999999999999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0.3216</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0.26229999999999998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0.23050000000000001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0.70569999999999999</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0.16289999999999999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0.25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0.7</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8.77E-2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0.73680000000000001</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7.7000000000000002E-3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0.99470000000000003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0.1757</c:v>
                </c:pt>
                <c:pt idx="3">
                  <c:v>0.25929999999999997</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0.73680000000000001</c:v>
                </c:pt>
                <c:pt idx="3">
                  <c:v>0.44569999999999999</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0.1497</c:v>
                </c:pt>
                <c:pt idx="3">
                  <c:v>0.29630000000000001</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0.71530000000000005</c:v>
                </c:pt>
                <c:pt idx="3">
                  <c:v>0.70569999999999999</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0.1212</c:v>
                </c:pt>
                <c:pt idx="3">
                  <c:v>0.1016</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0.372</c:v>
                </c:pt>
                <c:pt idx="3">
                  <c:v>0.32400000000000001</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8.6999999999999994E-2</c:v>
                </c:pt>
                <c:pt idx="3">
                  <c:v>0.20630000000000001</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6.0900000000000003E-2</c:v>
                </c:pt>
                <c:pt idx="3">
                  <c:v>0.1429</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79</v>
      </c>
      <c r="B3" s="31"/>
      <c r="C3" s="31"/>
      <c r="D3" s="31"/>
      <c r="E3" s="31"/>
      <c r="F3" s="31"/>
      <c r="G3" s="31"/>
      <c r="H3" s="31"/>
      <c r="I3" s="31"/>
      <c r="J3" s="31"/>
      <c r="K3" s="31"/>
      <c r="L3" s="31"/>
      <c r="M3" s="31"/>
      <c r="N3" s="31"/>
      <c r="O3" s="5"/>
    </row>
    <row r="4" spans="1:20" s="4" customFormat="1" ht="11.25" x14ac:dyDescent="0.2">
      <c r="A4" s="4" t="str">
        <f>VLOOKUP(A3,Data!A:CN,2,FALSE)</f>
        <v>3231 Old Furnace Road</v>
      </c>
      <c r="C4" s="7"/>
      <c r="E4" s="7"/>
      <c r="F4" s="7"/>
    </row>
    <row r="5" spans="1:20" s="4" customFormat="1" ht="11.25" x14ac:dyDescent="0.2">
      <c r="A5" s="4" t="str">
        <f>VLOOKUP(A3,Data!A:CN,3,FALSE)</f>
        <v>Chesnee</v>
      </c>
      <c r="C5" s="7"/>
      <c r="E5" s="7"/>
      <c r="F5" s="7"/>
      <c r="G5" s="7" t="str">
        <f>VLOOKUP(A3,Data!A:CN,4,FALSE)</f>
        <v>SC</v>
      </c>
      <c r="H5" s="7"/>
      <c r="I5" s="7" t="str">
        <f>VLOOKUP(A3,Data!A:CN,5,FALSE)</f>
        <v>29323</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0.73680000000000001</v>
      </c>
      <c r="H11" s="55" t="s">
        <v>1</v>
      </c>
      <c r="I11" s="6" t="str">
        <f t="shared" ref="I11" si="0">IF(OR(G11="NA",G11="**"),"NA",IF(G11&lt;C11,"Not Met","Met"))</f>
        <v>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8.77E-2</v>
      </c>
      <c r="H15" s="55" t="s">
        <v>1</v>
      </c>
      <c r="I15" s="6" t="str">
        <f>IF(OR(G15="NA",G15="**"),"NA",IF(G15&gt;C15,"Not Met","Met"))</f>
        <v>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0.99470000000000003</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0.94169999999999998</v>
      </c>
      <c r="H25" s="55" t="s">
        <v>1</v>
      </c>
      <c r="I25" s="6" t="str">
        <f>IF(OR(G25="NA",G25="**"),"NA",IF(G25&lt;C25,"Not Met","Met"))</f>
        <v>Not 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0.99470000000000003</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0.94340000000000002</v>
      </c>
      <c r="H34" s="55" t="s">
        <v>1</v>
      </c>
      <c r="I34" s="6" t="str">
        <f>IF(OR(G34="NA",G34="**"),"NA",IF(G34&lt;C34,"Not Met","Met"))</f>
        <v>Not 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0.2626</v>
      </c>
      <c r="H37" s="55" t="s">
        <v>1</v>
      </c>
      <c r="I37" s="6" t="str">
        <f>IF(OR(G37="NA",G37="**"),"NA",IF(G37&lt;C37,"Not Met","Met"))</f>
        <v>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0.1983</v>
      </c>
      <c r="H40" s="55" t="s">
        <v>1</v>
      </c>
      <c r="I40" s="6" t="str">
        <f>IF(OR(G40="NA",G40="**"),"NA",IF(G40&lt;C40,"Not Met","Met"))</f>
        <v>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0.51580000000000004</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0.29609999999999997</v>
      </c>
      <c r="H46" s="55" t="s">
        <v>1</v>
      </c>
      <c r="I46" s="6" t="str">
        <f>IF(OR(G46="NA",G46="**"),"NA",IF(G46&lt;C46,"Not Met","Met"))</f>
        <v>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0.1293</v>
      </c>
      <c r="H49" s="55" t="s">
        <v>1</v>
      </c>
      <c r="I49" s="6" t="str">
        <f>IF(OR(G49="NA",G49="**"),"NA",IF(G49&lt;C49,"Not Met","Met"))</f>
        <v>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0.57779999999999998</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0.2</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0.3</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0.3</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0.3</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0.1</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0.38340000000000002</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0.4108</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0.37159999999999999</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0.3216</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0.26229999999999998</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0.23050000000000001</v>
      </c>
      <c r="H88" s="55" t="s">
        <v>1</v>
      </c>
      <c r="I88" s="6" t="str">
        <f>IF(OR(G88="NA",G88="**"),"NA",IF(G88&gt;C88,"Not Met","Met"))</f>
        <v>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0.70569999999999999</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0.16289999999999999</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7.7000000000000002E-3</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0.51690000000000003</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0.191</v>
      </c>
      <c r="H112" s="55" t="s">
        <v>1</v>
      </c>
      <c r="I112" s="6" t="str">
        <f>IF(OR(G112="NA",G112="**"),"NA",IF(G112&gt;C112,"Not Met","Met"))</f>
        <v>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0.16850000000000001</v>
      </c>
      <c r="H115" s="55" t="s">
        <v>1</v>
      </c>
      <c r="I115" s="6" t="str">
        <f>IF(OR(G115="NA",G115="**"),"NA",IF(G115&gt;C115,"Not Met","Met"))</f>
        <v>Not 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0.87229999999999996</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0.5</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0.89580000000000004</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0.53569999999999995</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0.90239999999999998</v>
      </c>
      <c r="H136" s="55" t="s">
        <v>1</v>
      </c>
      <c r="I136" s="6" t="str">
        <f t="shared" si="3"/>
        <v>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0.60709999999999997</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0.85709999999999997</v>
      </c>
      <c r="H144" s="55" t="s">
        <v>1</v>
      </c>
      <c r="I144" s="6" t="str">
        <f t="shared" ref="I144" si="4">IF(OR(G144="NA",G144="**"),"NA",IF(G144&lt;C144,"Not Met","Met"))</f>
        <v>Not 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0.9355</v>
      </c>
      <c r="H162" s="55" t="s">
        <v>1</v>
      </c>
      <c r="I162" s="6" t="str">
        <f t="shared" si="3"/>
        <v>Not 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0.25</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0.7</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0.75</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fzKNrEWJRaBE1QGrBEM2eviD84mJ9Lkim5PWctXdZ09VKl37S0HYbHVgK3kYBiwlgxvljE9PTr4BemX3U9Zslg==" saltValue="aCanuWFzvihsMxEU5nSA8w=="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79</v>
      </c>
      <c r="B3" s="31"/>
      <c r="C3" s="31"/>
      <c r="D3" s="31"/>
      <c r="E3" s="31"/>
      <c r="F3" s="31"/>
      <c r="G3" s="31"/>
      <c r="H3" s="5"/>
      <c r="I3" s="5"/>
      <c r="J3" s="5"/>
    </row>
    <row r="4" spans="1:10" x14ac:dyDescent="0.2">
      <c r="A4" s="4" t="str">
        <f>VLOOKUP(A3,Data!A:CN,2,FALSE)</f>
        <v>3231 Old Furnace Road</v>
      </c>
    </row>
    <row r="5" spans="1:10" x14ac:dyDescent="0.2">
      <c r="A5" s="4" t="str">
        <f>VLOOKUP(A3,Data!A:CN,3,FALSE)</f>
        <v>Chesnee</v>
      </c>
      <c r="C5" s="7" t="str">
        <f>VLOOKUP(A3,Data!A:CN,4,FALSE)</f>
        <v>SC</v>
      </c>
      <c r="D5" s="7" t="str">
        <f>VLOOKUP(A3,Data!A:CN,5,FALSE)</f>
        <v>29323</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1</v>
      </c>
      <c r="C20" s="73" t="str">
        <f>IF(B20=0,"2 or more consecutive years of findings of non-compliance (current year and previous year(s))",
IF(B20=1,"Findings of non-compliance in the current year",
IF(B20=2,"No findings of non-compliance","")))</f>
        <v>Findings of non-compliance in the current year</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17</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0</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and did not improve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0.73680000000000001</v>
      </c>
      <c r="E34" s="18"/>
      <c r="F34" s="18"/>
      <c r="G34" s="18"/>
      <c r="H34" s="18"/>
      <c r="I34" s="18"/>
      <c r="J34" s="18"/>
    </row>
    <row r="35" spans="1:10" ht="11.25" customHeight="1" x14ac:dyDescent="0.2">
      <c r="A35" s="14"/>
      <c r="B35" s="37" t="s">
        <v>451</v>
      </c>
      <c r="C35" s="50">
        <f>VLOOKUP(A3,Data!A:CN,66,FALSE)</f>
        <v>0.44569999999999999</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1.5</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Meets or exceeds current state target</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0.1757</v>
      </c>
      <c r="E42" s="18"/>
      <c r="F42" s="18"/>
      <c r="G42" s="18"/>
      <c r="H42" s="18"/>
      <c r="I42" s="18"/>
      <c r="J42" s="18"/>
    </row>
    <row r="43" spans="1:10" ht="11.25" customHeight="1" x14ac:dyDescent="0.2">
      <c r="A43" s="14"/>
      <c r="B43" s="37" t="s">
        <v>451</v>
      </c>
      <c r="C43" s="50">
        <f>VLOOKUP(A3,Data!A:CN,69,FALSE)</f>
        <v>0.25929999999999997</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1.5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Meets or exceeds current state target</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8.6999999999999994E-2</v>
      </c>
      <c r="E50" s="18"/>
      <c r="F50" s="18"/>
      <c r="G50" s="18"/>
      <c r="H50" s="18"/>
      <c r="I50" s="18"/>
      <c r="J50" s="18"/>
    </row>
    <row r="51" spans="1:10" ht="11.25" customHeight="1" x14ac:dyDescent="0.2">
      <c r="A51" s="14"/>
      <c r="B51" s="37" t="s">
        <v>451</v>
      </c>
      <c r="C51" s="50">
        <f>VLOOKUP(A3,Data!A:CN,72,FALSE)</f>
        <v>0.20630000000000001</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state target</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0.1497</v>
      </c>
      <c r="E58" s="18"/>
      <c r="F58" s="18"/>
      <c r="G58" s="18"/>
      <c r="H58" s="18"/>
      <c r="I58" s="18"/>
      <c r="J58" s="18"/>
    </row>
    <row r="59" spans="1:10" ht="11.25" customHeight="1" x14ac:dyDescent="0.2">
      <c r="A59" s="14"/>
      <c r="B59" s="37" t="s">
        <v>451</v>
      </c>
      <c r="C59" s="50">
        <f>VLOOKUP(A3,Data!A:CN,75,FALSE)</f>
        <v>0.29630000000000001</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1.5</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Meets or exceeds current state target</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6.0900000000000003E-2</v>
      </c>
      <c r="E66" s="18"/>
      <c r="F66" s="18"/>
      <c r="G66" s="18"/>
      <c r="H66" s="18"/>
      <c r="I66" s="18"/>
      <c r="J66" s="18"/>
    </row>
    <row r="67" spans="1:10" ht="11.25" customHeight="1" x14ac:dyDescent="0.2">
      <c r="A67" s="14"/>
      <c r="B67" s="37" t="s">
        <v>451</v>
      </c>
      <c r="C67" s="50">
        <f>VLOOKUP(A3,Data!A:CN,78,FALSE)</f>
        <v>0.1429</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3</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state target</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0.71530000000000005</v>
      </c>
      <c r="E74" s="18"/>
      <c r="F74" s="18"/>
      <c r="G74" s="18"/>
      <c r="H74" s="18"/>
      <c r="I74" s="18"/>
      <c r="J74" s="18"/>
    </row>
    <row r="75" spans="1:10" ht="11.25" customHeight="1" x14ac:dyDescent="0.2">
      <c r="A75" s="14"/>
      <c r="B75" s="37" t="s">
        <v>451</v>
      </c>
      <c r="C75" s="50">
        <f>VLOOKUP(A3,Data!A:CN,81,FALSE)</f>
        <v>0.70569999999999999</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2</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year’s state performance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0.1212</v>
      </c>
      <c r="E90" s="18"/>
      <c r="F90" s="18"/>
      <c r="G90" s="18"/>
      <c r="H90" s="18"/>
      <c r="I90" s="18"/>
      <c r="J90" s="18"/>
    </row>
    <row r="91" spans="1:10" ht="11.25" customHeight="1" x14ac:dyDescent="0.2">
      <c r="A91" s="14"/>
      <c r="B91" s="37" t="s">
        <v>451</v>
      </c>
      <c r="C91" s="50">
        <f>VLOOKUP(A3,Data!A:CN,87,FALSE)</f>
        <v>0.1016</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2</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year’s state performance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0.372</v>
      </c>
      <c r="E98" s="18"/>
      <c r="F98" s="18"/>
      <c r="G98" s="18"/>
      <c r="H98" s="18"/>
      <c r="I98" s="18"/>
      <c r="J98" s="18"/>
    </row>
    <row r="99" spans="1:10" ht="11.25" customHeight="1" x14ac:dyDescent="0.2">
      <c r="A99" s="14"/>
      <c r="B99" s="37" t="s">
        <v>451</v>
      </c>
      <c r="C99" s="50">
        <f>VLOOKUP(A3,Data!A:CN,90,FALSE)</f>
        <v>0.32400000000000001</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16</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17</v>
      </c>
      <c r="B104" s="79">
        <f>B101</f>
        <v>16</v>
      </c>
      <c r="C104" s="52">
        <f>VLOOKUP(A3,Data!A:CN,91,FALSE) + 1</f>
        <v>1</v>
      </c>
      <c r="D104" s="79">
        <f>SUM(A104:C104)</f>
        <v>34</v>
      </c>
      <c r="E104" s="52">
        <f>VLOOKUP(A3,Data!A:CN,92,FALSE)</f>
        <v>40</v>
      </c>
      <c r="F104" s="28">
        <f>D104/E104</f>
        <v>0.85</v>
      </c>
      <c r="G104" s="51" t="str">
        <f>IF(F104&gt;=0.8,"Meets Requirement",
IF(F104&gt;=0.6,"Needs Assistance",
IF(F104&gt;=0.3,"Needs Intervenion",
IF(F104&lt;0.3,"Needs Substantial Intervention","NA"))))</f>
        <v>Meets Requirement</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FWl/5lkfflsM6jPxMoziAhtanI8un0Fnlg84Pc85vkVv+5rcQXgu9uDdUhwXqj7tnLD0mcuhNLX6R6Sh8GMmlw==" saltValue="SPaVOqdtTJ0yRFImhqj8Sg=="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2024-05-21T12:07:16Z</dcterms:modified>
</cp:coreProperties>
</file>