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22D78433-CFE8-443A-AFF8-F5F464961B24}" xr6:coauthVersionLast="47" xr6:coauthVersionMax="47" xr10:uidLastSave="{00000000-0000-0000-0000-000000000000}"/>
  <workbookProtection workbookAlgorithmName="SHA-512" workbookHashValue="of3w7sPrb+PkZ4j6nnhcuEdUENAW7dQqABdeB2RsZwCNocQh48hRo5OSZl1Dol2vh6z13YAxA5x0pKLhWXkriA==" workbookSaltValue="mdEJgzdPQ11EuGW/lq48Y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<sst xmlns="http://schemas.openxmlformats.org/spreadsheetml/2006/main" count="1777" uniqueCount="595">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</sst>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0.2167</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0.65380000000000005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0.75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0.97889999999999999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0.89170000000000005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0.97889999999999999</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0.96079999999999999</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0.21379999999999999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0.18890000000000001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0.50960000000000005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0.125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0.21529999999999999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0.1222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0.2316</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0.33329999999999999</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0.38600000000000001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8.3000000000000001E-3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0.38069999999999998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0.33300000000000002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0.31769999999999998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0.31850000000000001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0.41830000000000001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0.75260000000000005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0.1172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0.27779999999999999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0.86109999999999998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0.88729999999999998</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0.86109999999999998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0.85709999999999997</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0.20619999999999999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0.71130000000000004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1.17E-2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0.2132</c:v>
                </c:pt>
                <c:pt idx="3">
                  <c:v>0.21920000000000001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0.71130000000000004</c:v>
                </c:pt>
                <c:pt idx="3">
                  <c:v>0.66020000000000001</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0.2074</c:v>
                </c:pt>
                <c:pt idx="3">
                  <c:v>0.22070000000000001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0.77470000000000006</c:v>
                </c:pt>
                <c:pt idx="3">
                  <c:v>0.75260000000000005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0.51280000000000003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0.13800000000000001</c:v>
                </c:pt>
                <c:pt idx="3">
                  <c:v>0.14000000000000001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0.28000000000000003</c:v>
                </c:pt>
                <c:pt idx="3">
                  <c:v>0.27700000000000002</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7.2700000000000001E-2</c:v>
                </c:pt>
                <c:pt idx="3">
                  <c:v>0.18279999999999999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5.45E-2</c:v>
                </c:pt>
                <c:pt idx="3">
                  <c:v>0.1183</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0.76919999999999999</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0.61539999999999995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0.82540000000000002</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82</v>
      </c>
      <c r="B3" s="31"/>
      <c r="C3" s="31"/>
      <c r="D3" s="31"/>
      <c r="E3" s="31"/>
      <c r="F3" s="31"/>
      <c r="G3" s="31"/>
      <c r="H3" s="31"/>
      <c r="I3" s="31"/>
      <c r="J3" s="31"/>
      <c r="K3" s="31"/>
      <c r="L3" s="31"/>
      <c r="M3" s="31"/>
      <c r="N3" s="31"/>
      <c r="O3" s="5"/>
    </row>
    <row r="4" spans="1:20" s="4" customFormat="1" ht="11.25" x14ac:dyDescent="0.2">
      <c r="A4" s="4" t="str">
        <f>VLOOKUP(A3,Data!A:CN,2,FALSE)</f>
        <v>P.O. Box 307</v>
      </c>
      <c r="C4" s="7"/>
      <c r="E4" s="7"/>
      <c r="F4" s="7"/>
    </row>
    <row r="5" spans="1:20" s="4" customFormat="1" ht="11.25" x14ac:dyDescent="0.2">
      <c r="A5" s="4" t="str">
        <f>VLOOKUP(A3,Data!A:CN,3,FALSE)</f>
        <v>Duncan</v>
      </c>
      <c r="C5" s="7"/>
      <c r="E5" s="7"/>
      <c r="F5" s="7"/>
      <c r="G5" s="7" t="str">
        <f>VLOOKUP(A3,Data!A:CN,4,FALSE)</f>
        <v>SC</v>
      </c>
      <c r="H5" s="7"/>
      <c r="I5" s="7" t="str">
        <f>VLOOKUP(A3,Data!A:CN,5,FALSE)</f>
        <v>29334</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0.71130000000000004</v>
      </c>
      <c r="H11" s="55" t="s">
        <v>1</v>
      </c>
      <c r="I11" s="6" t="str">
        <f t="shared" ref="I11" si="0">IF(OR(G11="NA",G11="**"),"NA",IF(G11&lt;C11,"Not Met","Met"))</f>
        <v>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0.20619999999999999</v>
      </c>
      <c r="H15" s="55" t="s">
        <v>1</v>
      </c>
      <c r="I15" s="6" t="str">
        <f>IF(OR(G15="NA",G15="**"),"NA",IF(G15&gt;C15,"Not Met","Met"))</f>
        <v>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1</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0.97889999999999999</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0.89170000000000005</v>
      </c>
      <c r="H25" s="55" t="s">
        <v>1</v>
      </c>
      <c r="I25" s="6" t="str">
        <f>IF(OR(G25="NA",G25="**"),"NA",IF(G25&lt;C25,"Not Met","Met"))</f>
        <v>Not 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1</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0.97889999999999999</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0.96079999999999999</v>
      </c>
      <c r="H34" s="55" t="s">
        <v>1</v>
      </c>
      <c r="I34" s="6" t="str">
        <f>IF(OR(G34="NA",G34="**"),"NA",IF(G34&lt;C34,"Not Met","Met"))</f>
        <v>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0.21379999999999999</v>
      </c>
      <c r="H37" s="55" t="s">
        <v>1</v>
      </c>
      <c r="I37" s="6" t="str">
        <f>IF(OR(G37="NA",G37="**"),"NA",IF(G37&lt;C37,"Not Met","Met"))</f>
        <v>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0.18890000000000001</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0.50960000000000005</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0.21529999999999999</v>
      </c>
      <c r="H46" s="55" t="s">
        <v>1</v>
      </c>
      <c r="I46" s="6" t="str">
        <f>IF(OR(G46="NA",G46="**"),"NA",IF(G46&lt;C46,"Not Met","Met"))</f>
        <v>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0.1222</v>
      </c>
      <c r="H49" s="55" t="s">
        <v>1</v>
      </c>
      <c r="I49" s="6" t="str">
        <f>IF(OR(G49="NA",G49="**"),"NA",IF(G49&lt;C49,"Not Met","Met"))</f>
        <v>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0.2316</v>
      </c>
      <c r="H52" s="55" t="s">
        <v>1</v>
      </c>
      <c r="I52" s="6" t="str">
        <f>IF(OR(G52="NA",G52="**"),"NA",IF(G52&lt;C52,"Not Met","Met"))</f>
        <v>Not 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1</v>
      </c>
      <c r="H55" s="55" t="s">
        <v>1</v>
      </c>
      <c r="I55" s="6" t="str">
        <f>IF(OR(G55="NA",G55="**"),"NA",IF(G55&lt;C55,"Not Met","Met"))</f>
        <v>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1</v>
      </c>
      <c r="H64" s="55" t="s">
        <v>1</v>
      </c>
      <c r="I64" s="6" t="str">
        <f>IF(OR(G64="NA",G64="**"),"NA",IF(G64&lt;C64,"Not Met","Met"))</f>
        <v>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0.33329999999999999</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0.38600000000000001</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0.38069999999999998</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0.33300000000000002</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0.31769999999999998</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0.31850000000000001</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0.41830000000000001</v>
      </c>
      <c r="H88" s="55" t="s">
        <v>1</v>
      </c>
      <c r="I88" s="6" t="str">
        <f>IF(OR(G88="NA",G88="**"),"NA",IF(G88&gt;C88,"Not Met","Met"))</f>
        <v>Not 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0.75260000000000005</v>
      </c>
      <c r="H99" s="55" t="s">
        <v>1</v>
      </c>
      <c r="I99" s="6" t="str">
        <f t="shared" ref="I99" si="2">IF(OR(G99="NA",G99="**"),"NA",IF(G99&lt;C99,"Not Met","Met"))</f>
        <v>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0.1172</v>
      </c>
      <c r="H102" s="55" t="s">
        <v>1</v>
      </c>
      <c r="I102" s="6" t="str">
        <f>IF(OR(G102="NA",G102="**"),"NA",IF(G102&gt;C102,"Not Met","Met"))</f>
        <v>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1.17E-2</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0.2167</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0.125</v>
      </c>
      <c r="H112" s="55" t="s">
        <v>1</v>
      </c>
      <c r="I112" s="6" t="str">
        <f>IF(OR(G112="NA",G112="**"),"NA",IF(G112&gt;C112,"Not Met","Met"))</f>
        <v>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8.3000000000000001E-3</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0.88729999999999998</v>
      </c>
      <c r="H120" s="55" t="s">
        <v>1</v>
      </c>
      <c r="I120" s="6" t="str">
        <f t="shared" ref="I120:I162" si="3">IF(OR(G120="NA",G120="**"),"NA",IF(G120&lt;C120,"Not Met","Met"))</f>
        <v>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0.51280000000000003</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0.76919999999999999</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0.61539999999999995</v>
      </c>
      <c r="H132" s="55" t="s">
        <v>1</v>
      </c>
      <c r="I132" s="6" t="str">
        <f t="shared" si="3"/>
        <v>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0.82540000000000002</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0.65380000000000005</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0.75</v>
      </c>
      <c r="H144" s="55" t="s">
        <v>1</v>
      </c>
      <c r="I144" s="6" t="str">
        <f t="shared" ref="I144" si="4">IF(OR(G144="NA",G144="**"),"NA",IF(G144&lt;C144,"Not Met","Met"))</f>
        <v>Not 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0.85709999999999997</v>
      </c>
      <c r="H166" s="55" t="s">
        <v>1</v>
      </c>
      <c r="I166" s="6" t="str">
        <f t="shared" ref="I166" si="5">IF(OR(G166="NA",G166="**"),"NA",IF(G166&lt;C166,"Not Met","Met"))</f>
        <v>Not 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0.27779999999999999</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0.86109999999999998</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0.86109999999999998</v>
      </c>
      <c r="H179" s="55" t="s">
        <v>1</v>
      </c>
      <c r="I179" s="6" t="str">
        <f t="shared" ref="I179" si="7">IF(OR(G179="NA",G179="**"),"NA",IF(G179&lt;C179,"Not Met","Met"))</f>
        <v>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ba285WCTVe++gbxBFFKwp0V95MJEukWKnJ5S+AEiQZZrdnWcjH03HGiBMv//P6bbJzaX86wJrjCzeX2x6xScTA==" saltValue="1jiSSFEKI8C8CB4TqDNIuA=="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82</v>
      </c>
      <c r="B3" s="31"/>
      <c r="C3" s="31"/>
      <c r="D3" s="31"/>
      <c r="E3" s="31"/>
      <c r="F3" s="31"/>
      <c r="G3" s="31"/>
      <c r="H3" s="5"/>
      <c r="I3" s="5"/>
      <c r="J3" s="5"/>
    </row>
    <row r="4" spans="1:10" x14ac:dyDescent="0.2">
      <c r="A4" s="4" t="str">
        <f>VLOOKUP(A3,Data!A:CN,2,FALSE)</f>
        <v>P.O. Box 307</v>
      </c>
    </row>
    <row r="5" spans="1:10" x14ac:dyDescent="0.2">
      <c r="A5" s="4" t="str">
        <f>VLOOKUP(A3,Data!A:CN,3,FALSE)</f>
        <v>Duncan</v>
      </c>
      <c r="C5" s="7" t="str">
        <f>VLOOKUP(A3,Data!A:CN,4,FALSE)</f>
        <v>SC</v>
      </c>
      <c r="D5" s="7" t="str">
        <f>VLOOKUP(A3,Data!A:CN,5,FALSE)</f>
        <v>29334</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1</v>
      </c>
      <c r="C14" s="75" t="str">
        <f>IF(B14=0,"2 or more consecutive years of findings of non-compliance (current year and previous year(s))",
IF(B14=1,"Findings of non-compliance in the current year",
IF(B14=2,"No findings of non-compliance","")))</f>
        <v>Findings of non-compliance in the current year</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17</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2</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year’s state performance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0.71130000000000004</v>
      </c>
      <c r="E34" s="18"/>
      <c r="F34" s="18"/>
      <c r="G34" s="18"/>
      <c r="H34" s="18"/>
      <c r="I34" s="18"/>
      <c r="J34" s="18"/>
    </row>
    <row r="35" spans="1:10" ht="11.25" customHeight="1" x14ac:dyDescent="0.2">
      <c r="A35" s="14"/>
      <c r="B35" s="37" t="s">
        <v>451</v>
      </c>
      <c r="C35" s="50">
        <f>VLOOKUP(A3,Data!A:CN,66,FALSE)</f>
        <v>0.66020000000000001</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0.5</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but improved since last year</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0.2132</v>
      </c>
      <c r="E42" s="18"/>
      <c r="F42" s="18"/>
      <c r="G42" s="18"/>
      <c r="H42" s="18"/>
      <c r="I42" s="18"/>
      <c r="J42" s="18"/>
    </row>
    <row r="43" spans="1:10" ht="11.25" customHeight="1" x14ac:dyDescent="0.2">
      <c r="A43" s="14"/>
      <c r="B43" s="37" t="s">
        <v>451</v>
      </c>
      <c r="C43" s="50">
        <f>VLOOKUP(A3,Data!A:CN,69,FALSE)</f>
        <v>0.21920000000000001</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1.5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Meets or exceeds current state target</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7.2700000000000001E-2</v>
      </c>
      <c r="E50" s="18"/>
      <c r="F50" s="18"/>
      <c r="G50" s="18"/>
      <c r="H50" s="18"/>
      <c r="I50" s="18"/>
      <c r="J50" s="18"/>
    </row>
    <row r="51" spans="1:10" ht="11.25" customHeight="1" x14ac:dyDescent="0.2">
      <c r="A51" s="14"/>
      <c r="B51" s="37" t="s">
        <v>451</v>
      </c>
      <c r="C51" s="50">
        <f>VLOOKUP(A3,Data!A:CN,72,FALSE)</f>
        <v>0.18279999999999999</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1.5</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Meets or exceeds current state target</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0.2074</v>
      </c>
      <c r="E58" s="18"/>
      <c r="F58" s="18"/>
      <c r="G58" s="18"/>
      <c r="H58" s="18"/>
      <c r="I58" s="18"/>
      <c r="J58" s="18"/>
    </row>
    <row r="59" spans="1:10" ht="11.25" customHeight="1" x14ac:dyDescent="0.2">
      <c r="A59" s="14"/>
      <c r="B59" s="37" t="s">
        <v>451</v>
      </c>
      <c r="C59" s="50">
        <f>VLOOKUP(A3,Data!A:CN,75,FALSE)</f>
        <v>0.22070000000000001</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1.5</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Meets or exceeds current state target</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5.45E-2</v>
      </c>
      <c r="E66" s="18"/>
      <c r="F66" s="18"/>
      <c r="G66" s="18"/>
      <c r="H66" s="18"/>
      <c r="I66" s="18"/>
      <c r="J66" s="18"/>
    </row>
    <row r="67" spans="1:10" ht="11.25" customHeight="1" x14ac:dyDescent="0.2">
      <c r="A67" s="14"/>
      <c r="B67" s="37" t="s">
        <v>451</v>
      </c>
      <c r="C67" s="50">
        <f>VLOOKUP(A3,Data!A:CN,78,FALSE)</f>
        <v>0.1183</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3</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state target</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0.77470000000000006</v>
      </c>
      <c r="E74" s="18"/>
      <c r="F74" s="18"/>
      <c r="G74" s="18"/>
      <c r="H74" s="18"/>
      <c r="I74" s="18"/>
      <c r="J74" s="18"/>
    </row>
    <row r="75" spans="1:10" ht="11.25" customHeight="1" x14ac:dyDescent="0.2">
      <c r="A75" s="14"/>
      <c r="B75" s="37" t="s">
        <v>451</v>
      </c>
      <c r="C75" s="50">
        <f>VLOOKUP(A3,Data!A:CN,81,FALSE)</f>
        <v>0.75260000000000005</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2</v>
      </c>
      <c r="C86" s="73" t="str">
        <f>IF(B86=0,"Does not meet prior year’s state performance and did not improve",
IF(B86=1,"Does not meet prior year’s state performance but improved since last year",
IF(B86=2,"Meets or exceeds current year’s state performance",
IF(B86=3,"Meets or exceeds current state target",""))))</f>
        <v>Meets or exceeds current year’s state performance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0.13800000000000001</v>
      </c>
      <c r="E90" s="18"/>
      <c r="F90" s="18"/>
      <c r="G90" s="18"/>
      <c r="H90" s="18"/>
      <c r="I90" s="18"/>
      <c r="J90" s="18"/>
    </row>
    <row r="91" spans="1:10" ht="11.25" customHeight="1" x14ac:dyDescent="0.2">
      <c r="A91" s="14"/>
      <c r="B91" s="37" t="s">
        <v>451</v>
      </c>
      <c r="C91" s="50">
        <f>VLOOKUP(A3,Data!A:CN,87,FALSE)</f>
        <v>0.14000000000000001</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0</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and did not improve</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0.28000000000000003</v>
      </c>
      <c r="E98" s="18"/>
      <c r="F98" s="18"/>
      <c r="G98" s="18"/>
      <c r="H98" s="18"/>
      <c r="I98" s="18"/>
      <c r="J98" s="18"/>
    </row>
    <row r="99" spans="1:10" ht="11.25" customHeight="1" x14ac:dyDescent="0.2">
      <c r="A99" s="14"/>
      <c r="B99" s="37" t="s">
        <v>451</v>
      </c>
      <c r="C99" s="50">
        <f>VLOOKUP(A3,Data!A:CN,90,FALSE)</f>
        <v>0.27700000000000002</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17</v>
      </c>
      <c r="B104" s="79">
        <f>B101</f>
        <v>15</v>
      </c>
      <c r="C104" s="52">
        <f>VLOOKUP(A3,Data!A:CN,91,FALSE) + 1</f>
        <v>2</v>
      </c>
      <c r="D104" s="79">
        <f>SUM(A104:C104)</f>
        <v>34</v>
      </c>
      <c r="E104" s="52">
        <f>VLOOKUP(A3,Data!A:CN,92,FALSE)</f>
        <v>40</v>
      </c>
      <c r="F104" s="28">
        <f>D104/E104</f>
        <v>0.85</v>
      </c>
      <c r="G104" s="51" t="str">
        <f>IF(F104&gt;=0.8,"Meets Requirement",
IF(F104&gt;=0.6,"Needs Assistance",
IF(F104&gt;=0.3,"Needs Intervenion",
IF(F104&lt;0.3,"Needs Substantial Intervention","NA"))))</f>
        <v>Meets Requirement</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al7obA6qL0Av43caXTlykM0vSmN7yA2T/+NDCEEZzpoGbx6z57yVHlPY02AcrmZIdEQ5yg5m5ZfMgY/lKFdy1A==" saltValue="ThjtoLccfVrTd5zhhrczT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2024-05-21T12:07:18Z</dcterms:modified>
</cp:coreProperties>
</file>