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9CF693C8-56BD-4A17-AE19-492D4423F987}" xr6:coauthVersionLast="47" xr6:coauthVersionMax="47" xr10:uidLastSave="{00000000-0000-0000-0000-000000000000}"/>
  <workbookProtection workbookAlgorithmName="SHA-512" workbookHashValue="MblLTqv3O8Z3bpRu4NpfkSfhjY8SzfZphsnvlgOqf2nfzDhdYyrEe8tRrTjWQed3+1vdK+kcbYIha065vxnAzA==" workbookSaltValue="sC3LCAdgDsslkjvJRfmcaA=="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<sst xmlns="http://schemas.openxmlformats.org/spreadsheetml/2006/main" count="1777" uniqueCount="595">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</sst>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1.6799999999999999E-2</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0.61899999999999999</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0.96919999999999995</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0.96450000000000002</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0.92549999999999999</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0.98219999999999996</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0.84899999999999998</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0.1193</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8.6699999999999999E-2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0.33750000000000002</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0.84030000000000005</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8.9899999999999994E-2</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6.4999999999999997E-3</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9.2799999999999994E-2</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0.30769999999999997</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0.30769999999999997</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0.57140000000000002</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0.53849999999999998</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0.3846</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0.28570000000000001</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0.29360000000000003</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0.31369999999999998</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0.40239999999999998</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0.18229999999999999</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0.16969999999999999</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0.17649999999999999</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0.45810000000000001</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0.11600000000000001</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0.14630000000000001</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0.56100000000000005</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0.87270000000000003</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0.65849999999999997</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0.53420000000000001</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0.42859999999999998</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1.32E-2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0.97950000000000004</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0.1056</c:v>
                </c:pt>
                <c:pt idx="3">
                  <c:v>0.1323</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0.42859999999999998</c:v>
                </c:pt>
                <c:pt idx="3">
                  <c:v>0.45029999999999998</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7.8200000000000006E-2</c:v>
                </c:pt>
                <c:pt idx="3">
                  <c:v>0.12039999999999999</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0.45879999999999999</c:v>
                </c:pt>
                <c:pt idx="3">
                  <c:v>0.45810000000000001</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0.38100000000000001</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0.21579999999999999</c:v>
                </c:pt>
                <c:pt idx="3">
                  <c:v>0.26500000000000001</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0.127</c:v>
                </c:pt>
                <c:pt idx="3">
                  <c:v>0.12</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7.9500000000000001E-2</c:v>
                </c:pt>
                <c:pt idx="3">
                  <c:v>0.1043</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2.2200000000000001E-2</c:v>
                </c:pt>
                <c:pt idx="3">
                  <c:v>3.61E-2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0.89659999999999995</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0.39679999999999999</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0.85419999999999996</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85</v>
      </c>
      <c r="B3" s="31"/>
      <c r="C3" s="31"/>
      <c r="D3" s="31"/>
      <c r="E3" s="31"/>
      <c r="F3" s="31"/>
      <c r="G3" s="31"/>
      <c r="H3" s="31"/>
      <c r="I3" s="31"/>
      <c r="J3" s="31"/>
      <c r="K3" s="31"/>
      <c r="L3" s="31"/>
      <c r="M3" s="31"/>
      <c r="N3" s="31"/>
      <c r="O3" s="5"/>
    </row>
    <row r="4" spans="1:20" s="4" customFormat="1" ht="11.25" x14ac:dyDescent="0.2">
      <c r="A4" s="4" t="str">
        <f>VLOOKUP(A3,Data!A:CN,2,FALSE)</f>
        <v>P.O. Box 2039</v>
      </c>
      <c r="C4" s="7"/>
      <c r="E4" s="7"/>
      <c r="F4" s="7"/>
    </row>
    <row r="5" spans="1:20" s="4" customFormat="1" ht="11.25" x14ac:dyDescent="0.2">
      <c r="A5" s="4" t="str">
        <f>VLOOKUP(A3,Data!A:CN,3,FALSE)</f>
        <v>Sumter</v>
      </c>
      <c r="C5" s="7"/>
      <c r="E5" s="7"/>
      <c r="F5" s="7"/>
      <c r="G5" s="7" t="str">
        <f>VLOOKUP(A3,Data!A:CN,4,FALSE)</f>
        <v>SC</v>
      </c>
      <c r="H5" s="7"/>
      <c r="I5" s="7" t="str">
        <f>VLOOKUP(A3,Data!A:CN,5,FALSE)</f>
        <v>29151</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0.42859999999999998</v>
      </c>
      <c r="H11" s="55" t="s">
        <v>1</v>
      </c>
      <c r="I11" s="6" t="str">
        <f t="shared" ref="I11" si="0">IF(OR(G11="NA",G11="**"),"NA",IF(G11&lt;C11,"Not Met","Met"))</f>
        <v>Not 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0.53420000000000001</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0.96919999999999995</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0.96450000000000002</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0.92549999999999999</v>
      </c>
      <c r="H25" s="55" t="s">
        <v>1</v>
      </c>
      <c r="I25" s="6" t="str">
        <f>IF(OR(G25="NA",G25="**"),"NA",IF(G25&lt;C25,"Not Met","Met"))</f>
        <v>Not 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0.97950000000000004</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0.98219999999999996</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0.84899999999999998</v>
      </c>
      <c r="H34" s="55" t="s">
        <v>1</v>
      </c>
      <c r="I34" s="6" t="str">
        <f>IF(OR(G34="NA",G34="**"),"NA",IF(G34&lt;C34,"Not Met","Met"))</f>
        <v>Not 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0.1193</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8.6699999999999999E-2</v>
      </c>
      <c r="H40" s="55" t="s">
        <v>1</v>
      </c>
      <c r="I40" s="6" t="str">
        <f>IF(OR(G40="NA",G40="**"),"NA",IF(G40&lt;C40,"Not Met","Met"))</f>
        <v>Not 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0.33750000000000002</v>
      </c>
      <c r="H43" s="55" t="s">
        <v>1</v>
      </c>
      <c r="I43" s="6" t="str">
        <f>IF(OR(G43="NA",G43="**"),"NA",IF(G43&lt;C43,"Not Met","Met"))</f>
        <v>Not 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8.9899999999999994E-2</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6.4999999999999997E-3</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9.2799999999999994E-2</v>
      </c>
      <c r="H52" s="55" t="s">
        <v>1</v>
      </c>
      <c r="I52" s="6" t="str">
        <f>IF(OR(G52="NA",G52="**"),"NA",IF(G52&lt;C52,"Not Met","Met"))</f>
        <v>Not 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0.30769999999999997</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0.30769999999999997</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0.57140000000000002</v>
      </c>
      <c r="H61" s="55" t="s">
        <v>1</v>
      </c>
      <c r="I61" s="6" t="str">
        <f>IF(OR(G61="NA",G61="**"),"NA",IF(G61&lt;C61,"Not Met","Met"))</f>
        <v>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0.53849999999999998</v>
      </c>
      <c r="H64" s="55" t="s">
        <v>1</v>
      </c>
      <c r="I64" s="6" t="str">
        <f>IF(OR(G64="NA",G64="**"),"NA",IF(G64&lt;C64,"Not Met","Met"))</f>
        <v>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0.3846</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0.28570000000000001</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0.29360000000000003</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0.31369999999999998</v>
      </c>
      <c r="H76" s="55" t="s">
        <v>1</v>
      </c>
      <c r="I76" s="6" t="str">
        <f>IF(OR(G76="NA",G76="**"),"NA",IF(G76&gt;C76,"Not Met","Met"))</f>
        <v>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0.40239999999999998</v>
      </c>
      <c r="H79" s="55" t="s">
        <v>1</v>
      </c>
      <c r="I79" s="6" t="str">
        <f>IF(OR(G79="NA",G79="**"),"NA",IF(G79&gt;C79,"Not Met","Met"))</f>
        <v>Not 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0.18229999999999999</v>
      </c>
      <c r="H82" s="55" t="s">
        <v>1</v>
      </c>
      <c r="I82" s="6" t="str">
        <f>IF(OR(G82="NA",G82="**"),"NA",IF(G82&gt;C82,"Not Met","Met"))</f>
        <v>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0.16969999999999999</v>
      </c>
      <c r="H85" s="55" t="s">
        <v>1</v>
      </c>
      <c r="I85" s="6" t="str">
        <f>IF(OR(G85="NA",G85="**"),"NA",IF(G85&gt;C85,"Not Met","Met"))</f>
        <v>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0.17649999999999999</v>
      </c>
      <c r="H88" s="55" t="s">
        <v>1</v>
      </c>
      <c r="I88" s="6" t="str">
        <f>IF(OR(G88="NA",G88="**"),"NA",IF(G88&gt;C88,"Not Met","Met"))</f>
        <v>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0.45810000000000001</v>
      </c>
      <c r="H99" s="55" t="s">
        <v>1</v>
      </c>
      <c r="I99" s="6" t="str">
        <f t="shared" ref="I99" si="2">IF(OR(G99="NA",G99="**"),"NA",IF(G99&lt;C99,"Not Met","Met"))</f>
        <v>Not 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0.11600000000000001</v>
      </c>
      <c r="H102" s="55" t="s">
        <v>1</v>
      </c>
      <c r="I102" s="6" t="str">
        <f>IF(OR(G102="NA",G102="**"),"NA",IF(G102&gt;C102,"Not Met","Met"))</f>
        <v>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1.32E-2</v>
      </c>
      <c r="H105" s="55" t="s">
        <v>1</v>
      </c>
      <c r="I105" s="6" t="str">
        <f>IF(OR(G105="NA",G105="**"),"NA",IF(G105&gt;C105,"Not Met","Met"))</f>
        <v>Not 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1.6799999999999999E-2</v>
      </c>
      <c r="H109" s="55" t="s">
        <v>1</v>
      </c>
      <c r="I109" s="6" t="str">
        <f>IF(OR(G109="NA",G109="**"),"NA",IF(G109&lt;C109,"Not Met","Met"))</f>
        <v>Not 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0.84030000000000005</v>
      </c>
      <c r="H112" s="55" t="s">
        <v>1</v>
      </c>
      <c r="I112" s="6" t="str">
        <f>IF(OR(G112="NA",G112="**"),"NA",IF(G112&gt;C112,"Not Met","Met"))</f>
        <v>Not 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0.87270000000000003</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0.38100000000000001</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0.89659999999999995</v>
      </c>
      <c r="H128" s="55" t="s">
        <v>1</v>
      </c>
      <c r="I128" s="6" t="str">
        <f t="shared" si="3"/>
        <v>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0.39679999999999999</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0.85419999999999996</v>
      </c>
      <c r="H136" s="55" t="s">
        <v>1</v>
      </c>
      <c r="I136" s="6" t="str">
        <f t="shared" si="3"/>
        <v>Not 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0.61899999999999999</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1</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1</v>
      </c>
      <c r="H157" s="55" t="s">
        <v>1</v>
      </c>
      <c r="I157" s="6" t="str">
        <f>IF(OR(G157="NA",G157="**"),"NA",IF(G157&lt;C157,"Not Met","Met"))</f>
        <v>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0.14630000000000001</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0.56100000000000005</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0.65849999999999997</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ozF+Azagl1ZyqskJLibD9cV+s2S18PEUR6U9591WD/J96Xu4fv0o52oXk9bOFLv7/ImvzwwROHE49tRCjXBrA==" saltValue="QoQfw4NupqlzzV4I6SXvPQ=="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85</v>
      </c>
      <c r="B3" s="31"/>
      <c r="C3" s="31"/>
      <c r="D3" s="31"/>
      <c r="E3" s="31"/>
      <c r="F3" s="31"/>
      <c r="G3" s="31"/>
      <c r="H3" s="5"/>
      <c r="I3" s="5"/>
      <c r="J3" s="5"/>
    </row>
    <row r="4" spans="1:10" x14ac:dyDescent="0.2">
      <c r="A4" s="4" t="str">
        <f>VLOOKUP(A3,Data!A:CN,2,FALSE)</f>
        <v>P.O. Box 2039</v>
      </c>
    </row>
    <row r="5" spans="1:10" x14ac:dyDescent="0.2">
      <c r="A5" s="4" t="str">
        <f>VLOOKUP(A3,Data!A:CN,3,FALSE)</f>
        <v>Sumter</v>
      </c>
      <c r="C5" s="7" t="str">
        <f>VLOOKUP(A3,Data!A:CN,4,FALSE)</f>
        <v>SC</v>
      </c>
      <c r="D5" s="7" t="str">
        <f>VLOOKUP(A3,Data!A:CN,5,FALSE)</f>
        <v>29151</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1</v>
      </c>
      <c r="C12" s="75" t="str">
        <f>IF(B12=0,"2 or more consecutive years of findings of non-compliance (current year and previous year(s))",
IF(B12=1,"Findings of non-compliance in the current year",
IF(B12=2,"No findings of non-compliance","")))</f>
        <v>Findings of non-compliance in the current year</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2</v>
      </c>
      <c r="C18" s="73" t="str">
        <f>IF(B18=0,"2 or more consecutive years of findings of non-compliance (current year and previous year(s))",
IF(B18=1,"Findings of non-compliance in the current year",
IF(B18=2,"No findings of non-compliance","")))</f>
        <v>No findings of non-compliance</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17</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1</v>
      </c>
      <c r="C30" s="73" t="str">
        <f>IF(B30=0,"Does not meet prior year’s state performance and did not improve",
IF(B30=1,"Does not meet prior year’s state performance but improved since last year",
IF(B30=2,"Meets or exceeds current year’s state performance",
IF(B30=3,"Meets or exceeds current state target",""))))</f>
        <v>Does not meet prior year’s state performance but improved since last year</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0.42859999999999998</v>
      </c>
      <c r="E34" s="18"/>
      <c r="F34" s="18"/>
      <c r="G34" s="18"/>
      <c r="H34" s="18"/>
      <c r="I34" s="18"/>
      <c r="J34" s="18"/>
    </row>
    <row r="35" spans="1:10" ht="11.25" customHeight="1" x14ac:dyDescent="0.2">
      <c r="A35" s="14"/>
      <c r="B35" s="37" t="s">
        <v>451</v>
      </c>
      <c r="C35" s="50">
        <f>VLOOKUP(A3,Data!A:CN,66,FALSE)</f>
        <v>0.45029999999999998</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0.5</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Does not meet prior year’s state performance but improved since last year</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0.1056</v>
      </c>
      <c r="E42" s="18"/>
      <c r="F42" s="18"/>
      <c r="G42" s="18"/>
      <c r="H42" s="18"/>
      <c r="I42" s="18"/>
      <c r="J42" s="18"/>
    </row>
    <row r="43" spans="1:10" ht="11.25" customHeight="1" x14ac:dyDescent="0.2">
      <c r="A43" s="14"/>
      <c r="B43" s="37" t="s">
        <v>451</v>
      </c>
      <c r="C43" s="50">
        <f>VLOOKUP(A3,Data!A:CN,69,FALSE)</f>
        <v>0.1323</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0.5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Does not meet prior year’s state performance but improved since last year</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7.9500000000000001E-2</v>
      </c>
      <c r="E50" s="18"/>
      <c r="F50" s="18"/>
      <c r="G50" s="18"/>
      <c r="H50" s="18"/>
      <c r="I50" s="18"/>
      <c r="J50" s="18"/>
    </row>
    <row r="51" spans="1:10" ht="11.25" customHeight="1" x14ac:dyDescent="0.2">
      <c r="A51" s="14"/>
      <c r="B51" s="37" t="s">
        <v>451</v>
      </c>
      <c r="C51" s="50">
        <f>VLOOKUP(A3,Data!A:CN,72,FALSE)</f>
        <v>0.1043</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0.5</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but improved since last year</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7.8200000000000006E-2</v>
      </c>
      <c r="E58" s="18"/>
      <c r="F58" s="18"/>
      <c r="G58" s="18"/>
      <c r="H58" s="18"/>
      <c r="I58" s="18"/>
      <c r="J58" s="18"/>
    </row>
    <row r="59" spans="1:10" ht="11.25" customHeight="1" x14ac:dyDescent="0.2">
      <c r="A59" s="14"/>
      <c r="B59" s="37" t="s">
        <v>451</v>
      </c>
      <c r="C59" s="50">
        <f>VLOOKUP(A3,Data!A:CN,75,FALSE)</f>
        <v>0.12039999999999999</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0.5</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Does not meet prior year’s state performance but improved since last year</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2.2200000000000001E-2</v>
      </c>
      <c r="E66" s="18"/>
      <c r="F66" s="18"/>
      <c r="G66" s="18"/>
      <c r="H66" s="18"/>
      <c r="I66" s="18"/>
      <c r="J66" s="18"/>
    </row>
    <row r="67" spans="1:10" ht="11.25" customHeight="1" x14ac:dyDescent="0.2">
      <c r="A67" s="14"/>
      <c r="B67" s="37" t="s">
        <v>451</v>
      </c>
      <c r="C67" s="50">
        <f>VLOOKUP(A3,Data!A:CN,78,FALSE)</f>
        <v>3.61E-2</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0</v>
      </c>
      <c r="C70" s="73" t="str">
        <f>IF(B70=0,"Does not meet prior year’s state performance and did not improve",
IF(B70=1,"Does not meet prior year’s state performance but improved since last year",
IF(B70=2,"Meets or exceeds current year’s state performance",
IF(B70=3,"Meets or exceeds current state target",""))))</f>
        <v>Does not meet prior year’s state performance and did not improve</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0.45879999999999999</v>
      </c>
      <c r="E74" s="18"/>
      <c r="F74" s="18"/>
      <c r="G74" s="18"/>
      <c r="H74" s="18"/>
      <c r="I74" s="18"/>
      <c r="J74" s="18"/>
    </row>
    <row r="75" spans="1:10" ht="11.25" customHeight="1" x14ac:dyDescent="0.2">
      <c r="A75" s="14"/>
      <c r="B75" s="37" t="s">
        <v>451</v>
      </c>
      <c r="C75" s="50">
        <f>VLOOKUP(A3,Data!A:CN,81,FALSE)</f>
        <v>0.45810000000000001</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0</v>
      </c>
      <c r="C86" s="73" t="str">
        <f>IF(B86=0,"Does not meet prior year’s state performance and did not improve",
IF(B86=1,"Does not meet prior year’s state performance but improved since last year",
IF(B86=2,"Meets or exceeds current year’s state performance",
IF(B86=3,"Meets or exceeds current state target",""))))</f>
        <v>Does not meet prior year’s state performance and did not improve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0.21579999999999999</v>
      </c>
      <c r="E90" s="18"/>
      <c r="F90" s="18"/>
      <c r="G90" s="18"/>
      <c r="H90" s="18"/>
      <c r="I90" s="18"/>
      <c r="J90" s="18"/>
    </row>
    <row r="91" spans="1:10" ht="11.25" customHeight="1" x14ac:dyDescent="0.2">
      <c r="A91" s="14"/>
      <c r="B91" s="37" t="s">
        <v>451</v>
      </c>
      <c r="C91" s="50">
        <f>VLOOKUP(A3,Data!A:CN,87,FALSE)</f>
        <v>0.26500000000000001</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0</v>
      </c>
      <c r="C94" s="73" t="str">
        <f>IF(B94=0,"Does not meet prior year’s state performance and did not improve",
IF(B94=1,"Does not meet prior year’s state performance but improved since last year",
IF(B94=2,"Meets or exceeds current year’s state performance",
IF(B94=3,"Meets or exceeds current state target",""))))</f>
        <v>Does not meet prior year’s state performance and did not improve</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0.127</v>
      </c>
      <c r="E98" s="18"/>
      <c r="F98" s="18"/>
      <c r="G98" s="18"/>
      <c r="H98" s="18"/>
      <c r="I98" s="18"/>
      <c r="J98" s="18"/>
    </row>
    <row r="99" spans="1:10" ht="11.25" customHeight="1" x14ac:dyDescent="0.2">
      <c r="A99" s="14"/>
      <c r="B99" s="37" t="s">
        <v>451</v>
      </c>
      <c r="C99" s="50">
        <f>VLOOKUP(A3,Data!A:CN,90,FALSE)</f>
        <v>0.12</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6</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17</v>
      </c>
      <c r="B104" s="79">
        <f>B101</f>
        <v>6</v>
      </c>
      <c r="C104" s="52">
        <f>VLOOKUP(A3,Data!A:CN,91,FALSE) + 1</f>
        <v>1</v>
      </c>
      <c r="D104" s="79">
        <f>SUM(A104:C104)</f>
        <v>24</v>
      </c>
      <c r="E104" s="52">
        <f>VLOOKUP(A3,Data!A:CN,92,FALSE)</f>
        <v>40</v>
      </c>
      <c r="F104" s="28">
        <f>D104/E104</f>
        <v>0.6</v>
      </c>
      <c r="G104" s="51" t="str">
        <f>IF(F104&gt;=0.8,"Meets Requirement",
IF(F104&gt;=0.6,"Needs Assistance",
IF(F104&gt;=0.3,"Needs Intervenion",
IF(F104&lt;0.3,"Needs Substantial Intervention","NA"))))</f>
        <v>Needs Assistance</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C1L80StCCu5qQRCZ9vFHnSuvqnNdc6HO/+UChfDxptnysQKVMEOO/ofwYWYR/5DxdBucaMtME7d72CyyyOmFhw==" saltValue="evDHGmGP/C8CADtHXFHffA=="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2024-05-21T12:07:19Z</dcterms:modified>
</cp:coreProperties>
</file>