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66925"/>
  <mc:AlternateContent xmlns:mc="http://schemas.openxmlformats.org/markup-compatibility/2006">
    <mc:Choice Requires="x15">
      <x15ac:absPath xmlns:x15ac="http://schemas.microsoft.com/office/spreadsheetml/2010/11/ac" url="C:\Users\aaroman\Desktop\FY21 Determinations\"/>
    </mc:Choice>
  </mc:AlternateContent>
  <xr:revisionPtr revIDLastSave="0" documentId="8_{54C79790-A1FB-4924-8A0F-0BE0331AF603}" xr6:coauthVersionLast="47" xr6:coauthVersionMax="47" xr10:uidLastSave="{00000000-0000-0000-0000-000000000000}"/>
  <workbookProtection workbookAlgorithmName="SHA-512" workbookHashValue="iWUW/7Y8KuX4E42J0u8NC0xSpoRnu8gD++mm5zKii0jiIWXJys8mDjnzn0g0455HaMuviljmVWiCkRrHrLrSaA==" workbookSaltValue="4yIW7vSiXo5d1fK0f2M9fQ==" workbookSpinCount="100000" lockStructure="1"/>
  <bookViews>
    <workbookView xWindow="-120" yWindow="-120" windowWidth="29040" windowHeight="15840" tabRatio="834" firstSheet="5" activeTab="5" xr2:uid="{00000000-000D-0000-FFFF-FFFF00000000}"/>
  </bookViews>
  <sheets>
    <sheet name="Information" sheetId="7" state="hidden" r:id="rId1"/>
    <sheet name="Profile" sheetId="6" state="hidden"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<sst xmlns="http://schemas.openxmlformats.org/spreadsheetml/2006/main" count="2585" uniqueCount="605">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</sst>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25" fillId="0" borderId="7" xfId="6" applyFont="1" applyBorder="1" applyAlignment="1">
      <alignment horizontal="center"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8" fillId="6" borderId="7" xfId="6" applyFont="1" applyFill="1" applyBorder="1" applyAlignment="1">
      <alignment horizontal="left" vertical="center"/>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theme="9" tint="-0.499984740745262"/>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theme="9" tint="-0.499984740745262"/>
      </font>
    </dxf>
    <dxf>
      <font>
        <b/>
        <i val="0"/>
        <strike val="0"/>
        <color rgb="FFC0000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strike val="0"/>
        <color rgb="FFC00000"/>
      </font>
    </dxf>
    <dxf>
      <font>
        <b/>
        <i val="0"/>
      </font>
    </dxf>
    <dxf>
      <font>
        <b/>
        <i val="0"/>
        <strike val="0"/>
        <color theme="9" tint="-0.499984740745262"/>
      </font>
    </dxf>
    <dxf>
      <font>
        <b/>
        <i val="0"/>
        <strike val="0"/>
        <color rgb="FFC00000"/>
      </font>
    </dxf>
    <dxf>
      <font>
        <b/>
        <i val="0"/>
      </font>
    </dxf>
    <dxf>
      <font>
        <b/>
        <i val="0"/>
      </font>
    </dxf>
    <dxf>
      <font>
        <b/>
        <i val="0"/>
        <strike val="0"/>
        <color rgb="FFC00000"/>
      </font>
    </dxf>
    <dxf>
      <font>
        <b/>
        <i val="0"/>
        <strike val="0"/>
        <color theme="9" tint="-0.499984740745262"/>
      </font>
    </dxf>
    <dxf>
      <font>
        <b/>
        <i val="0"/>
        <strike val="0"/>
        <color rgb="FFC00000"/>
      </font>
    </dxf>
    <dxf>
      <font>
        <b/>
        <i val="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font>
    </dxf>
    <dxf>
      <font>
        <b/>
        <i val="0"/>
        <strike val="0"/>
        <color rgb="FFC00000"/>
      </font>
    </dxf>
    <dxf>
      <font>
        <b/>
        <i val="0"/>
        <strike val="0"/>
        <color theme="9" tint="-0.499984740745262"/>
      </font>
    </dxf>
    <dxf>
      <font>
        <b/>
        <i val="0"/>
        <strike val="0"/>
        <color theme="9" tint="-0.499984740745262"/>
      </font>
    </dxf>
    <dxf>
      <font>
        <b/>
        <i val="0"/>
      </font>
    </dxf>
    <dxf>
      <font>
        <b/>
        <i val="0"/>
        <strike val="0"/>
        <color rgb="FFC00000"/>
      </font>
    </dxf>
    <dxf>
      <font>
        <b/>
        <i val="0"/>
        <strike val="0"/>
        <color rgb="FFC00000"/>
      </font>
    </dxf>
    <dxf>
      <font>
        <b/>
        <i val="0"/>
        <strike val="0"/>
        <color theme="9" tint="-0.499984740745262"/>
      </font>
    </dxf>
    <dxf>
      <font>
        <b/>
        <i val="0"/>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rgb="FFC00000"/>
      </font>
    </dxf>
    <dxf>
      <font>
        <b/>
        <i val="0"/>
        <strike val="0"/>
        <color theme="9" tint="-0.499984740745262"/>
      </font>
    </dxf>
    <dxf>
      <font>
        <b/>
        <i val="0"/>
      </font>
    </dxf>
    <dxf>
      <font>
        <b/>
        <i val="0"/>
        <strike val="0"/>
        <color theme="9" tint="-0.499984740745262"/>
      </font>
    </dxf>
    <dxf>
      <font>
        <b/>
        <i val="0"/>
        <strike val="0"/>
        <color rgb="FFC00000"/>
      </font>
    </dxf>
    <dxf>
      <font>
        <b/>
        <i val="0"/>
        <strike val="0"/>
        <color rgb="FFC00000"/>
      </font>
    </dxf>
    <dxf>
      <font>
        <b/>
        <i val="0"/>
      </font>
    </dxf>
    <dxf>
      <font>
        <b/>
        <i val="0"/>
        <strike val="0"/>
        <color theme="9" tint="-0.499984740745262"/>
      </font>
    </dxf>
    <dxf>
      <font>
        <b/>
        <i val="0"/>
      </font>
    </dxf>
    <dxf>
      <font>
        <b/>
        <i val="0"/>
        <strike val="0"/>
        <color theme="9" tint="-0.499984740745262"/>
      </font>
    </dxf>
    <dxf>
      <font>
        <b/>
        <i val="0"/>
        <strike val="0"/>
        <color rgb="FFC00000"/>
      </font>
    </dxf>
    <dxf>
      <font>
        <b/>
        <i val="0"/>
        <strike val="0"/>
        <color theme="9" tint="-0.499984740745262"/>
      </font>
    </dxf>
    <dxf>
      <font>
        <b/>
        <i val="0"/>
        <strike val="0"/>
        <color rgb="FFC00000"/>
      </font>
    </dxf>
    <dxf>
      <font>
        <b/>
        <i val="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0.36</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0.93020000000000003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0.4</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0.46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0.97435897435897401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0.16669999999999999</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0.88622754491017997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0.987179487179487</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0.91249999999999998</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0.216374269005848</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0.13815789473684201</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0.641891891891892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0.157894736842105</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5.1948051948052E-2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0.36551724137931002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9.5200000000000007E-2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0.29261343203483298</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0.43452161489538199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0.25914977477477502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0.24418662550415801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0.27732024073487499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0.85709999999999997</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0.214093296994115</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0.84299999999999997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2.3400000000000001E-2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0.96109999999999995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0.42109999999999997</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0.71050000000000002</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0.78949999999999998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0.27029999999999998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0.68920000000000003</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2.5399999999999999E-2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0.26279999999999998</c:v>
                </c:pt>
                <c:pt idx="3">
                  <c:v>0.21640000000000001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0.68920000000000003</c:v>
                </c:pt>
                <c:pt idx="3">
                  <c:v>0.63109999999999999</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0.1613</c:v>
                </c:pt>
                <c:pt idx="3">
                  <c:v>0.15790000000000001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0.84870000000000001</c:v>
                </c:pt>
                <c:pt idx="3">
                  <c:v>0.84299999999999997</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0</c:v>
                </c:pt>
                <c:pt idx="3">
                  <c:v>0</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3.9300000000000002E-2</c:v>
                </c:pt>
                <c:pt idx="3">
                  <c:v>0.11700000000000001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0.224</c:v>
                </c:pt>
                <c:pt idx="3">
                  <c:v>0.188</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0.18579999999999999</c:v>
                </c:pt>
                <c:pt idx="3">
                  <c:v>0.13819999999999999</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c:v>
                </c:pt>
                <c:pt idx="3">
                  <c:v>5.1900000000000002E-2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0.95740000000000003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9" t="s">
        <v>450</v>
      </c>
      <c r="B1" s="129"/>
      <c r="C1" s="129"/>
      <c r="D1" s="129"/>
      <c r="E1" s="106"/>
      <c r="F1" s="104"/>
      <c r="G1" s="104"/>
      <c r="H1" s="104"/>
      <c r="I1" s="104"/>
      <c r="J1" s="104"/>
      <c r="K1" s="104"/>
    </row>
    <row r="2" spans="1:11" ht="75" customHeight="1" x14ac:dyDescent="0.25">
      <c r="A2" s="130" t="s">
        <v>551</v>
      </c>
      <c r="B2" s="130"/>
      <c r="C2" s="130"/>
      <c r="D2" s="130"/>
    </row>
    <row r="3" spans="1:11" ht="21" x14ac:dyDescent="0.35">
      <c r="A3" s="129" t="s">
        <v>451</v>
      </c>
      <c r="B3" s="129"/>
      <c r="C3" s="129"/>
      <c r="D3" s="129"/>
      <c r="E3" s="106"/>
      <c r="F3" s="104"/>
      <c r="G3" s="104"/>
      <c r="H3" s="104"/>
      <c r="I3" s="104"/>
      <c r="J3" s="104"/>
      <c r="K3" s="104"/>
    </row>
    <row r="4" spans="1:11" ht="249.95" customHeight="1" x14ac:dyDescent="0.25">
      <c r="A4" s="130" t="s">
        <v>602</v>
      </c>
      <c r="B4" s="130"/>
      <c r="C4" s="130"/>
      <c r="D4" s="130"/>
    </row>
    <row r="5" spans="1:11" s="105" customFormat="1" ht="18.75" x14ac:dyDescent="0.2">
      <c r="A5" s="131" t="s">
        <v>566</v>
      </c>
      <c r="B5" s="131"/>
      <c r="C5" s="131"/>
      <c r="D5" s="131"/>
      <c r="E5" s="109"/>
    </row>
    <row r="6" spans="1:11" s="105" customFormat="1" ht="96" customHeight="1" x14ac:dyDescent="0.2">
      <c r="A6" s="126" t="s">
        <v>586</v>
      </c>
      <c r="B6" s="126"/>
      <c r="C6" s="127" t="s">
        <v>552</v>
      </c>
      <c r="D6" s="127"/>
      <c r="E6" s="110"/>
    </row>
    <row r="7" spans="1:11" s="105" customFormat="1" ht="50.85" customHeight="1" x14ac:dyDescent="0.2">
      <c r="A7" s="126" t="s">
        <v>587</v>
      </c>
      <c r="B7" s="126"/>
      <c r="C7" s="127" t="s">
        <v>553</v>
      </c>
      <c r="D7" s="127"/>
      <c r="E7" s="110"/>
    </row>
    <row r="8" spans="1:11" s="105" customFormat="1" ht="50.85" customHeight="1" x14ac:dyDescent="0.2">
      <c r="A8" s="126" t="s">
        <v>570</v>
      </c>
      <c r="B8" s="126"/>
      <c r="C8" s="127" t="s">
        <v>554</v>
      </c>
      <c r="D8" s="127"/>
      <c r="E8" s="110"/>
    </row>
    <row r="9" spans="1:11" s="105" customFormat="1" ht="62.25" customHeight="1" x14ac:dyDescent="0.2">
      <c r="A9" s="126" t="s">
        <v>571</v>
      </c>
      <c r="B9" s="126"/>
      <c r="C9" s="127" t="s">
        <v>555</v>
      </c>
      <c r="D9" s="127"/>
      <c r="E9" s="110"/>
    </row>
    <row r="10" spans="1:11" s="105" customFormat="1" ht="50.85" customHeight="1" x14ac:dyDescent="0.2">
      <c r="A10" s="126" t="s">
        <v>588</v>
      </c>
      <c r="B10" s="126"/>
      <c r="C10" s="127" t="s">
        <v>556</v>
      </c>
      <c r="D10" s="127"/>
      <c r="E10" s="110"/>
    </row>
    <row r="11" spans="1:11" s="105" customFormat="1" ht="50.85" customHeight="1" x14ac:dyDescent="0.2">
      <c r="A11" s="126" t="s">
        <v>589</v>
      </c>
      <c r="B11" s="126"/>
      <c r="C11" s="127" t="s">
        <v>557</v>
      </c>
      <c r="D11" s="127"/>
      <c r="E11" s="110"/>
    </row>
    <row r="12" spans="1:11" s="105" customFormat="1" ht="50.85" customHeight="1" x14ac:dyDescent="0.2">
      <c r="A12" s="126" t="s">
        <v>590</v>
      </c>
      <c r="B12" s="126"/>
      <c r="C12" s="127" t="s">
        <v>558</v>
      </c>
      <c r="D12" s="127"/>
      <c r="E12" s="110"/>
    </row>
    <row r="13" spans="1:11" s="105" customFormat="1" ht="18.75" x14ac:dyDescent="0.3">
      <c r="A13" s="128" t="s">
        <v>567</v>
      </c>
      <c r="B13" s="128"/>
      <c r="C13" s="128"/>
      <c r="D13" s="128"/>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D1"/>
    <mergeCell ref="A2:D2"/>
    <mergeCell ref="A3:D3"/>
    <mergeCell ref="A4:D4"/>
    <mergeCell ref="C8:D8"/>
    <mergeCell ref="A5:D5"/>
    <mergeCell ref="A6:B6"/>
    <mergeCell ref="A7:B7"/>
    <mergeCell ref="A8:B8"/>
    <mergeCell ref="A11:B11"/>
    <mergeCell ref="A12:B12"/>
    <mergeCell ref="C6:D6"/>
    <mergeCell ref="C7:D7"/>
    <mergeCell ref="A13:D13"/>
    <mergeCell ref="C9:D9"/>
    <mergeCell ref="C10:D10"/>
    <mergeCell ref="C11:D11"/>
    <mergeCell ref="C12:D12"/>
    <mergeCell ref="A9:B9"/>
    <mergeCell ref="A10:B10"/>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458</v>
      </c>
      <c r="B3" s="36"/>
      <c r="C3" s="36"/>
      <c r="D3" s="36"/>
      <c r="E3" s="36"/>
      <c r="F3" s="36"/>
      <c r="G3" s="36"/>
      <c r="H3" s="36"/>
      <c r="I3" s="36"/>
      <c r="J3" s="36"/>
      <c r="K3" s="36"/>
      <c r="L3" s="36"/>
      <c r="M3" s="36"/>
      <c r="N3" s="36"/>
      <c r="O3" s="10"/>
    </row>
    <row r="4" spans="1:20" s="9" customFormat="1" ht="11.25" x14ac:dyDescent="0.2">
      <c r="A4" s="9" t="str">
        <f>+VLOOKUP(A3,'Old Data'!A1:CM88,2,FALSE)</f>
        <v>1824 Barnwell Street</v>
      </c>
      <c r="C4" s="12"/>
      <c r="E4" s="12"/>
      <c r="F4" s="12"/>
    </row>
    <row r="5" spans="1:20" s="9" customFormat="1" ht="11.25" x14ac:dyDescent="0.2">
      <c r="A5" s="9" t="str">
        <f>+VLOOKUP(A3,'Old Data'!A1:CM88,3,FALSE)</f>
        <v>Columbia</v>
      </c>
      <c r="C5" s="12"/>
      <c r="E5" s="12"/>
      <c r="F5" s="12"/>
      <c r="G5" s="12" t="str">
        <f>+VLOOKUP(A3,'Old Data'!A1:CM88,4,FALSE)</f>
        <v>SC</v>
      </c>
      <c r="H5" s="12"/>
      <c r="I5" s="12">
        <f>+VLOOKUP(A3,'Old Data'!A1:CM88,5,FALSE)</f>
        <v>29201</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0.68920000000000003</v>
      </c>
      <c r="H11" s="66" t="s">
        <v>1</v>
      </c>
      <c r="I11" s="11" t="str">
        <f t="shared" ref="I11" si="0">IF(OR(G11="NA",G11="**"),"NA",IF(G11&lt;C11,"Not Met","Met"))</f>
        <v>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0.27029999999999998</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1</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0.97435897435897401</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0.88622754491017997</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1</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0.987179487179487</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0.91249999999999998</v>
      </c>
      <c r="H34" s="66" t="s">
        <v>1</v>
      </c>
      <c r="I34" s="11" t="str">
        <f>IF(OR(G34="NA",G34="**"),"NA",IF(G34&lt;C34,"Not Met","Met"))</f>
        <v>Not 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0.216374269005848</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0.13815789473684201</v>
      </c>
      <c r="H40" s="66" t="s">
        <v>1</v>
      </c>
      <c r="I40" s="11" t="str">
        <f>IF(OR(G40="NA",G40="**"),"NA",IF(G40&lt;C40,"Not Met","Met"))</f>
        <v>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0.641891891891892</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0.157894736842105</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5.1948051948052E-2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0.36551724137931002</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t="str">
        <f>VLOOKUP(A3,'Old Data'!A1:CM88,49,FALSE)</f>
        <v>NA</v>
      </c>
      <c r="H55" s="66" t="s">
        <v>1</v>
      </c>
      <c r="I55" s="11" t="str">
        <f>IF(OR(G55="NA",G55="**"),"NA",IF(G55&lt;C55,"Not Met","Met"))</f>
        <v>NA</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t="str">
        <f>VLOOKUP(A3,'Old Data'!A1:CM88,50,FALSE)</f>
        <v>NA</v>
      </c>
      <c r="H58" s="66" t="s">
        <v>1</v>
      </c>
      <c r="I58" s="11" t="str">
        <f>IF(OR(G58="NA",G58="**"),"NA",IF(G58&lt;C58,"Not Met","Met"))</f>
        <v>NA</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t="str">
        <f>VLOOKUP(A3,'Old Data'!A1:CM88,52,FALSE)</f>
        <v>NA</v>
      </c>
      <c r="H64" s="66" t="s">
        <v>1</v>
      </c>
      <c r="I64" s="11" t="str">
        <f>IF(OR(G64="NA",G64="**"),"NA",IF(G64&lt;C64,"Not Met","Met"))</f>
        <v>NA</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t="str">
        <f>VLOOKUP(A3,'Old Data'!A1:CM88,53,FALSE)</f>
        <v>NA</v>
      </c>
      <c r="H67" s="66" t="s">
        <v>1</v>
      </c>
      <c r="I67" s="11" t="str">
        <f>IF(OR(G67="NA",G67="**"),"NA",IF(G67&lt;C67,"Not Met","Met"))</f>
        <v>NA</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1</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0.29261343203483298</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0.43452161489538199</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0.25914977477477502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0.24418662550415801</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0.27732024073487499</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0.214093296994115</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0.84299999999999997</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2.3400000000000001E-2</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2.5399999999999999E-2</v>
      </c>
      <c r="H105" s="66" t="s">
        <v>1</v>
      </c>
      <c r="I105" s="11" t="str">
        <f>IF(OR(G105="NA",G105="**"),"NA",IF(G105&gt;C105,"Not Met","Met"))</f>
        <v>Not 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1</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0.16669999999999999</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9.5200000000000007E-2</v>
      </c>
      <c r="H118" s="66" t="s">
        <v>1</v>
      </c>
      <c r="I118" s="11" t="str">
        <f>IF(OR(G118="NA",G118="**"),"NA",IF(G118&gt;C118,"Not Met","Met"))</f>
        <v>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0.85709999999999997</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0.95740000000000003</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0.36</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0.93020000000000003</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0.4</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1</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0.46</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Yes</v>
      </c>
      <c r="H171" s="66" t="s">
        <v>1</v>
      </c>
      <c r="I171" s="11" t="str">
        <f>IF(OR(G171="NA",G171="**"),"NA",IF(G171="No","Met",IF(G171="Yes","Not Met")))</f>
        <v>Not 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0.96109999999999995</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0.42109999999999997</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0.71050000000000002</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0.78949999999999998</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o6nAlHIuxyj0nKj/fqUnXQQAXzdBq9AcpeES/qv183auAPb/h7idCVC55fkx4NmTJurNzSgbkajdtYL4kGC+Fg==" saltValue="yJi5yegbQrmSjoc1GiBtCg==" spinCount="100000" sheet="1" objects="1" scenarios="1" selectLockedCells="1" selectUnlockedCells="1"/>
  <conditionalFormatting sqref="I11">
    <cfRule type="containsText" dxfId="164" priority="16" operator="containsText" text="NA">
      <formula>NOT(ISERROR(SEARCH("NA",I11)))</formula>
    </cfRule>
    <cfRule type="containsText" dxfId="163" priority="17" operator="containsText" text="Not Met">
      <formula>NOT(ISERROR(SEARCH("Not Met",I11)))</formula>
    </cfRule>
  </conditionalFormatting>
  <conditionalFormatting sqref="I15">
    <cfRule type="containsText" dxfId="161" priority="14" operator="containsText" text="Not Met">
      <formula>NOT(ISERROR(SEARCH("Not Met",I15)))</formula>
    </cfRule>
    <cfRule type="containsText" dxfId="159" priority="13" operator="containsText" text="NA">
      <formula>NOT(ISERROR(SEARCH("NA",I15)))</formula>
    </cfRule>
  </conditionalFormatting>
  <conditionalFormatting sqref="I19">
    <cfRule type="containsText" dxfId="157" priority="106" operator="containsText" text="NA">
      <formula>NOT(ISERROR(SEARCH("NA",I19)))</formula>
    </cfRule>
    <cfRule type="containsText" dxfId="156" priority="107" operator="containsText" text="Not Met">
      <formula>NOT(ISERROR(SEARCH("Not Met",I19)))</formula>
    </cfRule>
  </conditionalFormatting>
  <conditionalFormatting sqref="I22">
    <cfRule type="containsText" dxfId="155" priority="104" operator="containsText" text="Not Met">
      <formula>NOT(ISERROR(SEARCH("Not Met",I22)))</formula>
    </cfRule>
    <cfRule type="containsText" dxfId="153" priority="103" operator="containsText" text="NA">
      <formula>NOT(ISERROR(SEARCH("NA",I22)))</formula>
    </cfRule>
  </conditionalFormatting>
  <conditionalFormatting sqref="I25">
    <cfRule type="containsText" dxfId="151" priority="101" operator="containsText" text="Not Met">
      <formula>NOT(ISERROR(SEARCH("Not Met",I25)))</formula>
    </cfRule>
    <cfRule type="containsText" dxfId="150" priority="100" operator="containsText" text="NA">
      <formula>NOT(ISERROR(SEARCH("NA",I25)))</formula>
    </cfRule>
  </conditionalFormatting>
  <conditionalFormatting sqref="I28">
    <cfRule type="containsText" dxfId="148" priority="98" operator="containsText" text="Not Met">
      <formula>NOT(ISERROR(SEARCH("Not Met",I28)))</formula>
    </cfRule>
    <cfRule type="containsText" dxfId="147" priority="97" operator="containsText" text="NA">
      <formula>NOT(ISERROR(SEARCH("NA",I28)))</formula>
    </cfRule>
  </conditionalFormatting>
  <conditionalFormatting sqref="I31">
    <cfRule type="containsText" dxfId="145" priority="95" operator="containsText" text="Not Met">
      <formula>NOT(ISERROR(SEARCH("Not Met",I31)))</formula>
    </cfRule>
    <cfRule type="containsText" dxfId="144" priority="94" operator="containsText" text="NA">
      <formula>NOT(ISERROR(SEARCH("NA",I31)))</formula>
    </cfRule>
  </conditionalFormatting>
  <conditionalFormatting sqref="I34">
    <cfRule type="containsText" dxfId="142" priority="92" operator="containsText" text="Not Met">
      <formula>NOT(ISERROR(SEARCH("Not Met",I34)))</formula>
    </cfRule>
    <cfRule type="containsText" dxfId="141" priority="91" operator="containsText" text="NA">
      <formula>NOT(ISERROR(SEARCH("NA",I34)))</formula>
    </cfRule>
  </conditionalFormatting>
  <conditionalFormatting sqref="I37">
    <cfRule type="containsText" dxfId="139" priority="89" operator="containsText" text="Not Met">
      <formula>NOT(ISERROR(SEARCH("Not Met",I37)))</formula>
    </cfRule>
    <cfRule type="containsText" dxfId="138" priority="88" operator="containsText" text="NA">
      <formula>NOT(ISERROR(SEARCH("NA",I37)))</formula>
    </cfRule>
  </conditionalFormatting>
  <conditionalFormatting sqref="I40">
    <cfRule type="containsText" dxfId="137" priority="85" operator="containsText" text="NA">
      <formula>NOT(ISERROR(SEARCH("NA",I40)))</formula>
    </cfRule>
    <cfRule type="containsText" dxfId="135" priority="86" operator="containsText" text="Not Met">
      <formula>NOT(ISERROR(SEARCH("Not Met",I40)))</formula>
    </cfRule>
  </conditionalFormatting>
  <conditionalFormatting sqref="I43">
    <cfRule type="containsText" dxfId="134" priority="83" operator="containsText" text="Not Met">
      <formula>NOT(ISERROR(SEARCH("Not Met",I43)))</formula>
    </cfRule>
    <cfRule type="containsText" dxfId="133" priority="82" operator="containsText" text="NA">
      <formula>NOT(ISERROR(SEARCH("NA",I43)))</formula>
    </cfRule>
  </conditionalFormatting>
  <conditionalFormatting sqref="I46">
    <cfRule type="containsText" dxfId="130" priority="80" operator="containsText" text="Not Met">
      <formula>NOT(ISERROR(SEARCH("Not Met",I46)))</formula>
    </cfRule>
    <cfRule type="containsText" dxfId="129" priority="79" operator="containsText" text="NA">
      <formula>NOT(ISERROR(SEARCH("NA",I46)))</formula>
    </cfRule>
  </conditionalFormatting>
  <conditionalFormatting sqref="I49">
    <cfRule type="containsText" dxfId="128" priority="77" operator="containsText" text="Not Met">
      <formula>NOT(ISERROR(SEARCH("Not Met",I49)))</formula>
    </cfRule>
    <cfRule type="containsText" dxfId="127" priority="76" operator="containsText" text="NA">
      <formula>NOT(ISERROR(SEARCH("NA",I49)))</formula>
    </cfRule>
  </conditionalFormatting>
  <conditionalFormatting sqref="I52">
    <cfRule type="containsText" dxfId="124" priority="74" operator="containsText" text="Not Met">
      <formula>NOT(ISERROR(SEARCH("Not Met",I52)))</formula>
    </cfRule>
    <cfRule type="containsText" dxfId="123" priority="73" operator="containsText" text="NA">
      <formula>NOT(ISERROR(SEARCH("NA",I52)))</formula>
    </cfRule>
  </conditionalFormatting>
  <conditionalFormatting sqref="I55">
    <cfRule type="containsText" dxfId="121" priority="71" operator="containsText" text="Not Met">
      <formula>NOT(ISERROR(SEARCH("Not Met",I55)))</formula>
    </cfRule>
    <cfRule type="containsText" dxfId="120" priority="70" operator="containsText" text="NA">
      <formula>NOT(ISERROR(SEARCH("NA",I55)))</formula>
    </cfRule>
  </conditionalFormatting>
  <conditionalFormatting sqref="I58">
    <cfRule type="containsText" dxfId="119" priority="68" operator="containsText" text="Not Met">
      <formula>NOT(ISERROR(SEARCH("Not Met",I58)))</formula>
    </cfRule>
    <cfRule type="containsText" dxfId="118" priority="67" operator="containsText" text="NA">
      <formula>NOT(ISERROR(SEARCH("NA",I58)))</formula>
    </cfRule>
  </conditionalFormatting>
  <conditionalFormatting sqref="I61">
    <cfRule type="containsText" dxfId="115" priority="65" operator="containsText" text="Not Met">
      <formula>NOT(ISERROR(SEARCH("Not Met",I61)))</formula>
    </cfRule>
    <cfRule type="containsText" dxfId="114" priority="64" operator="containsText" text="NA">
      <formula>NOT(ISERROR(SEARCH("NA",I61)))</formula>
    </cfRule>
  </conditionalFormatting>
  <conditionalFormatting sqref="I64">
    <cfRule type="containsText" dxfId="112" priority="61" operator="containsText" text="NA">
      <formula>NOT(ISERROR(SEARCH("NA",I64)))</formula>
    </cfRule>
    <cfRule type="containsText" dxfId="111" priority="62" operator="containsText" text="Not Met">
      <formula>NOT(ISERROR(SEARCH("Not Met",I64)))</formula>
    </cfRule>
  </conditionalFormatting>
  <conditionalFormatting sqref="I67">
    <cfRule type="containsText" dxfId="109" priority="59" operator="containsText" text="Not Met">
      <formula>NOT(ISERROR(SEARCH("Not Met",I67)))</formula>
    </cfRule>
    <cfRule type="containsText" dxfId="108" priority="58" operator="containsText" text="NA">
      <formula>NOT(ISERROR(SEARCH("NA",I67)))</formula>
    </cfRule>
  </conditionalFormatting>
  <conditionalFormatting sqref="I70">
    <cfRule type="containsText" dxfId="107" priority="55" operator="containsText" text="NA">
      <formula>NOT(ISERROR(SEARCH("NA",I70)))</formula>
    </cfRule>
    <cfRule type="containsText" dxfId="106" priority="56" operator="containsText" text="Not Met">
      <formula>NOT(ISERROR(SEARCH("Not Met",I70)))</formula>
    </cfRule>
  </conditionalFormatting>
  <conditionalFormatting sqref="I73">
    <cfRule type="containsText" dxfId="104" priority="52" operator="containsText" text="NA">
      <formula>NOT(ISERROR(SEARCH("NA",I73)))</formula>
    </cfRule>
    <cfRule type="containsText" dxfId="103" priority="53" operator="containsText" text="Not Met">
      <formula>NOT(ISERROR(SEARCH("Not Met",I73)))</formula>
    </cfRule>
  </conditionalFormatting>
  <conditionalFormatting sqref="I76">
    <cfRule type="containsText" dxfId="100" priority="50" operator="containsText" text="Not Met">
      <formula>NOT(ISERROR(SEARCH("Not Met",I76)))</formula>
    </cfRule>
    <cfRule type="containsText" dxfId="99" priority="49" operator="containsText" text="NA">
      <formula>NOT(ISERROR(SEARCH("NA",I76)))</formula>
    </cfRule>
  </conditionalFormatting>
  <conditionalFormatting sqref="I79">
    <cfRule type="containsText" dxfId="97" priority="47" operator="containsText" text="Not Met">
      <formula>NOT(ISERROR(SEARCH("Not Met",I79)))</formula>
    </cfRule>
    <cfRule type="containsText" dxfId="96" priority="46" operator="containsText" text="NA">
      <formula>NOT(ISERROR(SEARCH("NA",I79)))</formula>
    </cfRule>
  </conditionalFormatting>
  <conditionalFormatting sqref="I82">
    <cfRule type="containsText" dxfId="94" priority="44" operator="containsText" text="Not Met">
      <formula>NOT(ISERROR(SEARCH("Not Met",I82)))</formula>
    </cfRule>
    <cfRule type="containsText" dxfId="93" priority="43" operator="containsText" text="NA">
      <formula>NOT(ISERROR(SEARCH("NA",I82)))</formula>
    </cfRule>
  </conditionalFormatting>
  <conditionalFormatting sqref="I85">
    <cfRule type="containsText" dxfId="91" priority="40" operator="containsText" text="NA">
      <formula>NOT(ISERROR(SEARCH("NA",I85)))</formula>
    </cfRule>
    <cfRule type="containsText" dxfId="90" priority="41" operator="containsText" text="Not Met">
      <formula>NOT(ISERROR(SEARCH("Not Met",I85)))</formula>
    </cfRule>
  </conditionalFormatting>
  <conditionalFormatting sqref="I88">
    <cfRule type="containsText" dxfId="88" priority="38" operator="containsText" text="Not Met">
      <formula>NOT(ISERROR(SEARCH("Not Met",I88)))</formula>
    </cfRule>
    <cfRule type="containsText" dxfId="87" priority="37" operator="containsText" text="NA">
      <formula>NOT(ISERROR(SEARCH("NA",I88)))</formula>
    </cfRule>
  </conditionalFormatting>
  <conditionalFormatting sqref="I92">
    <cfRule type="containsText" dxfId="85" priority="116" operator="containsText" text="Not Met">
      <formula>NOT(ISERROR(SEARCH("Not Met",I92)))</formula>
    </cfRule>
    <cfRule type="containsText" dxfId="84" priority="115" operator="containsText" text="NA">
      <formula>NOT(ISERROR(SEARCH("NA",I92)))</formula>
    </cfRule>
  </conditionalFormatting>
  <conditionalFormatting sqref="I95">
    <cfRule type="containsText" dxfId="83" priority="113" operator="containsText" text="Not Met">
      <formula>NOT(ISERROR(SEARCH("Not Met",I95)))</formula>
    </cfRule>
    <cfRule type="containsText" dxfId="81" priority="112" operator="containsText" text="NA">
      <formula>NOT(ISERROR(SEARCH("NA",I95)))</formula>
    </cfRule>
  </conditionalFormatting>
  <conditionalFormatting sqref="I99">
    <cfRule type="containsText" dxfId="79" priority="35" operator="containsText" text="Not Met">
      <formula>NOT(ISERROR(SEARCH("Not Met",I99)))</formula>
    </cfRule>
    <cfRule type="containsText" dxfId="78" priority="34" operator="containsText" text="NA">
      <formula>NOT(ISERROR(SEARCH("NA",I99)))</formula>
    </cfRule>
  </conditionalFormatting>
  <conditionalFormatting sqref="I102">
    <cfRule type="containsText" dxfId="76" priority="32" operator="containsText" text="Not Met">
      <formula>NOT(ISERROR(SEARCH("Not Met",I102)))</formula>
    </cfRule>
    <cfRule type="containsText" dxfId="75" priority="31" operator="containsText" text="NA">
      <formula>NOT(ISERROR(SEARCH("NA",I102)))</formula>
    </cfRule>
  </conditionalFormatting>
  <conditionalFormatting sqref="I105">
    <cfRule type="containsText" dxfId="73" priority="29" operator="containsText" text="Not Met">
      <formula>NOT(ISERROR(SEARCH("Not Met",I105)))</formula>
    </cfRule>
    <cfRule type="containsText" dxfId="72" priority="28" operator="containsText" text="NA">
      <formula>NOT(ISERROR(SEARCH("NA",I105)))</formula>
    </cfRule>
  </conditionalFormatting>
  <conditionalFormatting sqref="I109">
    <cfRule type="containsText" dxfId="70" priority="842" operator="containsText" text="Not Met">
      <formula>NOT(ISERROR(SEARCH("Not Met",I109)))</formula>
    </cfRule>
    <cfRule type="containsText" dxfId="69" priority="837" operator="containsText" text="NA">
      <formula>NOT(ISERROR(SEARCH("NA",I109)))</formula>
    </cfRule>
  </conditionalFormatting>
  <conditionalFormatting sqref="I112">
    <cfRule type="containsText" dxfId="68" priority="163" operator="containsText" text="NA">
      <formula>NOT(ISERROR(SEARCH("NA",I112)))</formula>
    </cfRule>
    <cfRule type="containsText" dxfId="67" priority="164" operator="containsText" text="Not Met">
      <formula>NOT(ISERROR(SEARCH("Not Met",I112)))</formula>
    </cfRule>
  </conditionalFormatting>
  <conditionalFormatting sqref="I115">
    <cfRule type="containsText" dxfId="65" priority="161" operator="containsText" text="Not Met">
      <formula>NOT(ISERROR(SEARCH("Not Met",I115)))</formula>
    </cfRule>
    <cfRule type="containsText" dxfId="64" priority="160" operator="containsText" text="NA">
      <formula>NOT(ISERROR(SEARCH("NA",I115)))</formula>
    </cfRule>
  </conditionalFormatting>
  <conditionalFormatting sqref="I118">
    <cfRule type="containsText" dxfId="62" priority="157" operator="containsText" text="NA">
      <formula>NOT(ISERROR(SEARCH("NA",I118)))</formula>
    </cfRule>
    <cfRule type="containsText" dxfId="61" priority="158" operator="containsText" text="Not Met">
      <formula>NOT(ISERROR(SEARCH("Not Met",I118)))</formula>
    </cfRule>
  </conditionalFormatting>
  <conditionalFormatting sqref="I121">
    <cfRule type="containsText" dxfId="58" priority="155" operator="containsText" text="Not Met">
      <formula>NOT(ISERROR(SEARCH("Not Met",I121)))</formula>
    </cfRule>
    <cfRule type="containsText" dxfId="57" priority="154" operator="containsText" text="NA">
      <formula>NOT(ISERROR(SEARCH("NA",I121)))</formula>
    </cfRule>
  </conditionalFormatting>
  <conditionalFormatting sqref="I124">
    <cfRule type="containsText" dxfId="56" priority="151" operator="containsText" text="NA">
      <formula>NOT(ISERROR(SEARCH("NA",I124)))</formula>
    </cfRule>
    <cfRule type="containsText" dxfId="55" priority="152" operator="containsText" text="Not Met">
      <formula>NOT(ISERROR(SEARCH("Not Met",I124)))</formula>
    </cfRule>
  </conditionalFormatting>
  <conditionalFormatting sqref="I127">
    <cfRule type="containsText" dxfId="52" priority="148" operator="containsText" text="NA">
      <formula>NOT(ISERROR(SEARCH("NA",I127)))</formula>
    </cfRule>
    <cfRule type="containsText" dxfId="51" priority="149" operator="containsText" text="Not Met">
      <formula>NOT(ISERROR(SEARCH("Not Met",I127)))</formula>
    </cfRule>
  </conditionalFormatting>
  <conditionalFormatting sqref="I130">
    <cfRule type="containsText" dxfId="49" priority="146" operator="containsText" text="Not Met">
      <formula>NOT(ISERROR(SEARCH("Not Met",I130)))</formula>
    </cfRule>
    <cfRule type="containsText" dxfId="48" priority="145" operator="containsText" text="NA">
      <formula>NOT(ISERROR(SEARCH("NA",I130)))</formula>
    </cfRule>
  </conditionalFormatting>
  <conditionalFormatting sqref="I133">
    <cfRule type="containsText" dxfId="47" priority="142" operator="containsText" text="NA">
      <formula>NOT(ISERROR(SEARCH("NA",I133)))</formula>
    </cfRule>
    <cfRule type="containsText" dxfId="45" priority="143" operator="containsText" text="Not Met">
      <formula>NOT(ISERROR(SEARCH("Not Met",I133)))</formula>
    </cfRule>
  </conditionalFormatting>
  <conditionalFormatting sqref="I138">
    <cfRule type="containsText" dxfId="44" priority="139" operator="containsText" text="NA">
      <formula>NOT(ISERROR(SEARCH("NA",I138)))</formula>
    </cfRule>
    <cfRule type="containsText" dxfId="43" priority="140" operator="containsText" text="Not Met">
      <formula>NOT(ISERROR(SEARCH("Not Met",I138)))</formula>
    </cfRule>
  </conditionalFormatting>
  <conditionalFormatting sqref="I142">
    <cfRule type="containsText" dxfId="41" priority="137" operator="containsText" text="Not Met">
      <formula>NOT(ISERROR(SEARCH("Not Met",I142)))</formula>
    </cfRule>
    <cfRule type="containsText" dxfId="40" priority="136" operator="containsText" text="NA">
      <formula>NOT(ISERROR(SEARCH("NA",I142)))</formula>
    </cfRule>
  </conditionalFormatting>
  <conditionalFormatting sqref="I146">
    <cfRule type="containsText" dxfId="38" priority="133" operator="containsText" text="NA">
      <formula>NOT(ISERROR(SEARCH("NA",I146)))</formula>
    </cfRule>
    <cfRule type="containsText" dxfId="37" priority="134" operator="containsText" text="Not Met">
      <formula>NOT(ISERROR(SEARCH("Not Met",I146)))</formula>
    </cfRule>
  </conditionalFormatting>
  <conditionalFormatting sqref="I150">
    <cfRule type="containsText" dxfId="35" priority="130" operator="containsText" text="NA">
      <formula>NOT(ISERROR(SEARCH("NA",I150)))</formula>
    </cfRule>
    <cfRule type="containsText" dxfId="34" priority="131" operator="containsText" text="Not Met">
      <formula>NOT(ISERROR(SEARCH("Not Met",I150)))</formula>
    </cfRule>
  </conditionalFormatting>
  <conditionalFormatting sqref="I154">
    <cfRule type="containsText" dxfId="32" priority="128" operator="containsText" text="Not Met">
      <formula>NOT(ISERROR(SEARCH("Not Met",I154)))</formula>
    </cfRule>
    <cfRule type="containsText" dxfId="31" priority="127" operator="containsText" text="NA">
      <formula>NOT(ISERROR(SEARCH("NA",I154)))</formula>
    </cfRule>
  </conditionalFormatting>
  <conditionalFormatting sqref="I158">
    <cfRule type="containsText" dxfId="28" priority="124" operator="containsText" text="NA">
      <formula>NOT(ISERROR(SEARCH("NA",I158)))</formula>
    </cfRule>
    <cfRule type="containsText" dxfId="27" priority="125" operator="containsText" text="Not Met">
      <formula>NOT(ISERROR(SEARCH("Not Met",I158)))</formula>
    </cfRule>
  </conditionalFormatting>
  <conditionalFormatting sqref="I162">
    <cfRule type="containsText" dxfId="26" priority="109" operator="containsText" text="NA">
      <formula>NOT(ISERROR(SEARCH("NA",I162)))</formula>
    </cfRule>
    <cfRule type="containsText" dxfId="25" priority="110" operator="containsText" text="Not Met">
      <formula>NOT(ISERROR(SEARCH("Not Met",I162)))</formula>
    </cfRule>
  </conditionalFormatting>
  <conditionalFormatting sqref="I166">
    <cfRule type="containsText" dxfId="22" priority="26" operator="containsText" text="Not Met">
      <formula>NOT(ISERROR(SEARCH("Not Met",I166)))</formula>
    </cfRule>
    <cfRule type="containsText" dxfId="21" priority="25" operator="containsText" text="NA">
      <formula>NOT(ISERROR(SEARCH("NA",I166)))</formula>
    </cfRule>
  </conditionalFormatting>
  <conditionalFormatting sqref="I171">
    <cfRule type="containsText" dxfId="19" priority="23" operator="containsText" text="Not Met">
      <formula>NOT(ISERROR(SEARCH("Not Met",I171)))</formula>
    </cfRule>
    <cfRule type="containsText" dxfId="18" priority="22" operator="containsText" text="NA">
      <formula>NOT(ISERROR(SEARCH("NA",I171)))</formula>
    </cfRule>
  </conditionalFormatting>
  <conditionalFormatting sqref="I175">
    <cfRule type="containsText" dxfId="17" priority="19" operator="containsText" text="NA">
      <formula>NOT(ISERROR(SEARCH("NA",I175)))</formula>
    </cfRule>
    <cfRule type="containsText" dxfId="15" priority="20" operator="containsText" text="Not Met">
      <formula>NOT(ISERROR(SEARCH("Not Met",I175)))</formula>
    </cfRule>
  </conditionalFormatting>
  <conditionalFormatting sqref="I180">
    <cfRule type="containsText" dxfId="13" priority="122" operator="containsText" text="Not Met">
      <formula>NOT(ISERROR(SEARCH("Not Met",I180)))</formula>
    </cfRule>
    <cfRule type="containsText" dxfId="12" priority="121" operator="containsText" text="NA">
      <formula>NOT(ISERROR(SEARCH("NA",I180)))</formula>
    </cfRule>
  </conditionalFormatting>
  <conditionalFormatting sqref="I184">
    <cfRule type="containsText" dxfId="10" priority="11" operator="containsText" text="Not Met">
      <formula>NOT(ISERROR(SEARCH("Not Met",I184)))</formula>
    </cfRule>
    <cfRule type="containsText" dxfId="9" priority="10" operator="containsText" text="NA">
      <formula>NOT(ISERROR(SEARCH("NA",I184)))</formula>
    </cfRule>
  </conditionalFormatting>
  <conditionalFormatting sqref="I189">
    <cfRule type="containsText" dxfId="7" priority="8" operator="containsText" text="Not Met">
      <formula>NOT(ISERROR(SEARCH("Not Met",I189)))</formula>
    </cfRule>
    <cfRule type="containsText" dxfId="6" priority="7" operator="containsText" text="NA">
      <formula>NOT(ISERROR(SEARCH("NA",I189)))</formula>
    </cfRule>
  </conditionalFormatting>
  <conditionalFormatting sqref="I193">
    <cfRule type="containsText" dxfId="4" priority="5" operator="containsText" text="Not Met">
      <formula>NOT(ISERROR(SEARCH("Not Met",I193)))</formula>
    </cfRule>
    <cfRule type="containsText" dxfId="3" priority="4" operator="containsText" text="NA">
      <formula>NOT(ISERROR(SEARCH("NA",I193)))</formula>
    </cfRule>
  </conditionalFormatting>
  <conditionalFormatting sqref="I197">
    <cfRule type="containsText" dxfId="1" priority="1" operator="containsText" text="NA">
      <formula>NOT(ISERROR(SEARCH("NA",I197)))</formula>
    </cfRule>
    <cfRule type="containsText" dxfId="0"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9" t="s">
        <v>450</v>
      </c>
      <c r="B1" s="129"/>
      <c r="C1" s="129"/>
      <c r="D1" s="129"/>
      <c r="E1" s="106"/>
      <c r="F1" s="104"/>
      <c r="G1" s="104"/>
      <c r="H1" s="104"/>
      <c r="I1" s="104"/>
      <c r="J1" s="104"/>
      <c r="K1" s="104"/>
    </row>
    <row r="2" spans="1:11" ht="75" customHeight="1" x14ac:dyDescent="0.25">
      <c r="A2" s="130" t="s">
        <v>551</v>
      </c>
      <c r="B2" s="130"/>
      <c r="C2" s="130"/>
      <c r="D2" s="130"/>
    </row>
    <row r="3" spans="1:11" ht="21" x14ac:dyDescent="0.35">
      <c r="A3" s="129" t="s">
        <v>451</v>
      </c>
      <c r="B3" s="129"/>
      <c r="C3" s="129"/>
      <c r="D3" s="129"/>
      <c r="E3" s="106"/>
      <c r="F3" s="104"/>
      <c r="G3" s="104"/>
      <c r="H3" s="104"/>
      <c r="I3" s="104"/>
      <c r="J3" s="104"/>
      <c r="K3" s="104"/>
    </row>
    <row r="4" spans="1:11" ht="249.95" customHeight="1" x14ac:dyDescent="0.25">
      <c r="A4" s="130" t="s">
        <v>602</v>
      </c>
      <c r="B4" s="130"/>
      <c r="C4" s="130"/>
      <c r="D4" s="130"/>
    </row>
    <row r="5" spans="1:11" s="105" customFormat="1" ht="18.75" x14ac:dyDescent="0.2">
      <c r="A5" s="131" t="s">
        <v>566</v>
      </c>
      <c r="B5" s="131"/>
      <c r="C5" s="131"/>
      <c r="D5" s="131"/>
      <c r="E5" s="109"/>
    </row>
    <row r="6" spans="1:11" s="105" customFormat="1" ht="45" customHeight="1" x14ac:dyDescent="0.2">
      <c r="A6" s="126" t="s">
        <v>568</v>
      </c>
      <c r="B6" s="126"/>
      <c r="C6" s="132" t="s">
        <v>564</v>
      </c>
      <c r="D6" s="132"/>
      <c r="E6" s="110"/>
    </row>
    <row r="7" spans="1:11" s="105" customFormat="1" ht="45" customHeight="1" x14ac:dyDescent="0.2">
      <c r="A7" s="126" t="s">
        <v>569</v>
      </c>
      <c r="B7" s="126"/>
      <c r="C7" s="132" t="s">
        <v>564</v>
      </c>
      <c r="D7" s="132"/>
      <c r="E7" s="110"/>
    </row>
    <row r="8" spans="1:11" s="105" customFormat="1" ht="45" customHeight="1" x14ac:dyDescent="0.2">
      <c r="A8" s="126" t="s">
        <v>570</v>
      </c>
      <c r="B8" s="126"/>
      <c r="C8" s="132" t="s">
        <v>564</v>
      </c>
      <c r="D8" s="132"/>
      <c r="E8" s="110"/>
    </row>
    <row r="9" spans="1:11" s="105" customFormat="1" ht="45" customHeight="1" x14ac:dyDescent="0.2">
      <c r="A9" s="126" t="s">
        <v>571</v>
      </c>
      <c r="B9" s="126"/>
      <c r="C9" s="132" t="s">
        <v>565</v>
      </c>
      <c r="D9" s="132"/>
      <c r="E9" s="110"/>
    </row>
    <row r="10" spans="1:11" s="105" customFormat="1" ht="45" customHeight="1" x14ac:dyDescent="0.2">
      <c r="A10" s="126" t="s">
        <v>572</v>
      </c>
      <c r="B10" s="126"/>
      <c r="C10" s="132" t="s">
        <v>564</v>
      </c>
      <c r="D10" s="132"/>
      <c r="E10" s="110"/>
    </row>
    <row r="11" spans="1:11" s="105" customFormat="1" ht="45" customHeight="1" x14ac:dyDescent="0.2">
      <c r="A11" s="126" t="s">
        <v>573</v>
      </c>
      <c r="B11" s="126"/>
      <c r="C11" s="132" t="s">
        <v>564</v>
      </c>
      <c r="D11" s="132"/>
      <c r="E11" s="110"/>
    </row>
    <row r="12" spans="1:11" s="105" customFormat="1" ht="45" customHeight="1" x14ac:dyDescent="0.2">
      <c r="A12" s="126" t="s">
        <v>574</v>
      </c>
      <c r="B12" s="126"/>
      <c r="C12" s="132" t="s">
        <v>564</v>
      </c>
      <c r="D12" s="132"/>
      <c r="E12" s="110"/>
    </row>
    <row r="13" spans="1:11" s="105" customFormat="1" ht="45" customHeight="1" x14ac:dyDescent="0.2">
      <c r="A13" s="126" t="s">
        <v>575</v>
      </c>
      <c r="B13" s="126"/>
      <c r="C13" s="132" t="s">
        <v>564</v>
      </c>
      <c r="D13" s="132"/>
      <c r="E13" s="110"/>
    </row>
    <row r="14" spans="1:11" s="105" customFormat="1" ht="45" customHeight="1" x14ac:dyDescent="0.2">
      <c r="A14" s="126" t="s">
        <v>576</v>
      </c>
      <c r="B14" s="126"/>
      <c r="C14" s="132" t="s">
        <v>564</v>
      </c>
      <c r="D14" s="132"/>
      <c r="E14" s="110"/>
    </row>
    <row r="15" spans="1:11" s="105" customFormat="1" ht="18.75" x14ac:dyDescent="0.3">
      <c r="A15" s="128" t="s">
        <v>567</v>
      </c>
      <c r="B15" s="128"/>
      <c r="C15" s="128"/>
      <c r="D15" s="128"/>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458</v>
      </c>
      <c r="B3" s="36"/>
      <c r="C3" s="36"/>
      <c r="D3" s="36"/>
      <c r="E3" s="36"/>
      <c r="F3" s="36"/>
      <c r="G3" s="36"/>
      <c r="H3" s="10"/>
      <c r="I3" s="10"/>
      <c r="J3" s="10"/>
    </row>
    <row r="4" spans="1:10" x14ac:dyDescent="0.2">
      <c r="A4" s="9" t="str">
        <f>VLOOKUP(A3,Data!A1:AQ88,2,FALSE)</f>
        <v>1824 Barnwell Street</v>
      </c>
    </row>
    <row r="5" spans="1:10" x14ac:dyDescent="0.2">
      <c r="A5" s="9" t="str">
        <f>VLOOKUP(A3,Data!A1:AQ88,3,FALSE)</f>
        <v>Columbia</v>
      </c>
      <c r="C5" s="12" t="str">
        <f>VLOOKUP(A3,Data!A1:AQ88,4,FALSE)</f>
        <v>SC</v>
      </c>
      <c r="D5" s="12">
        <f>VLOOKUP(A3,Data!A1:AQ88,5,FALSE)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t="str">
        <f>VLOOKUP(A3,Data!A1:AQ88,11,FALSE)</f>
        <v>NA</v>
      </c>
      <c r="C20" s="92" t="str">
        <f>IF(B20=0,"2 or more consecutive years of findings of non-compliance (current year and previous year(s))",
IF(B20=1,"Findings of non-compliance in the current year",
IF(B20=2,"No findings of non-compliance","")))</f>
        <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1</v>
      </c>
      <c r="C26" s="95" t="str">
        <f>IF(B26=0,"2 or more consecutive years of findings of non-compliance (current year and previous year(s))",
IF(B26=1,"Findings of non-compliance in the current year",
IF(B26=2,"No findings of non-compliance","")))</f>
        <v>Findings of non-compliance in the current year</v>
      </c>
      <c r="D26" s="78"/>
      <c r="E26" s="78"/>
      <c r="F26" s="78"/>
      <c r="G26" s="78"/>
      <c r="H26" s="78"/>
      <c r="I26" s="78"/>
      <c r="J26" s="78"/>
    </row>
    <row r="27" spans="1:10" ht="21.95" customHeight="1" x14ac:dyDescent="0.2">
      <c r="A27" s="48" t="s">
        <v>16</v>
      </c>
      <c r="B27" s="41">
        <f>SUM(B10,B12,B14,B16,B18,B20,B22,B24,B26)</f>
        <v>14</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0.68920000000000003</v>
      </c>
      <c r="E34" s="23"/>
      <c r="F34" s="23"/>
      <c r="G34" s="23"/>
      <c r="H34" s="23"/>
      <c r="I34" s="23"/>
      <c r="J34" s="23"/>
    </row>
    <row r="35" spans="1:10" ht="11.25" customHeight="1" x14ac:dyDescent="0.2">
      <c r="A35" s="19"/>
      <c r="B35" s="43" t="s">
        <v>466</v>
      </c>
      <c r="C35" s="56">
        <f>VLOOKUP(A3,Data!A1:AQ88,17,FALSE)</f>
        <v>0.63109999999999999</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0.26279999999999998</v>
      </c>
      <c r="E42" s="23"/>
      <c r="F42" s="23"/>
      <c r="G42" s="23"/>
      <c r="H42" s="23"/>
      <c r="I42" s="23"/>
      <c r="J42" s="23"/>
    </row>
    <row r="43" spans="1:10" ht="11.25" customHeight="1" x14ac:dyDescent="0.2">
      <c r="A43" s="19"/>
      <c r="B43" s="43" t="s">
        <v>466</v>
      </c>
      <c r="C43" s="56">
        <f>VLOOKUP(A3,Data!A1:AQ88,20,FALSE)</f>
        <v>0.21640000000000001</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0.18579999999999999</v>
      </c>
      <c r="E50" s="23"/>
      <c r="F50" s="23"/>
      <c r="G50" s="23"/>
      <c r="H50" s="23"/>
      <c r="I50" s="23"/>
      <c r="J50" s="23"/>
    </row>
    <row r="51" spans="1:10" ht="11.25" customHeight="1" x14ac:dyDescent="0.2">
      <c r="A51" s="19"/>
      <c r="B51" s="43" t="s">
        <v>466</v>
      </c>
      <c r="C51" s="56">
        <f>VLOOKUP(A3,Data!A1:AQ88,23,FALSE)</f>
        <v>0.13819999999999999</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0.1613</v>
      </c>
      <c r="E58" s="23"/>
      <c r="F58" s="23"/>
      <c r="G58" s="23"/>
      <c r="H58" s="23"/>
      <c r="I58" s="23"/>
      <c r="J58" s="23"/>
    </row>
    <row r="59" spans="1:10" ht="11.25" customHeight="1" x14ac:dyDescent="0.2">
      <c r="A59" s="19"/>
      <c r="B59" s="43" t="s">
        <v>466</v>
      </c>
      <c r="C59" s="56">
        <f>VLOOKUP(A3,Data!A1:AQ88,26,FALSE)</f>
        <v>0.15790000000000001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v>
      </c>
      <c r="E66" s="23"/>
      <c r="F66" s="23"/>
      <c r="G66" s="23"/>
      <c r="H66" s="23"/>
      <c r="I66" s="23"/>
      <c r="J66" s="23"/>
    </row>
    <row r="67" spans="1:10" ht="11.25" customHeight="1" x14ac:dyDescent="0.2">
      <c r="A67" s="19"/>
      <c r="B67" s="43" t="s">
        <v>466</v>
      </c>
      <c r="C67" s="56">
        <f>VLOOKUP(A3,Data!A1:AQ88,29,FALSE)</f>
        <v>5.1900000000000002E-2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0.84870000000000001</v>
      </c>
      <c r="E74" s="23"/>
      <c r="F74" s="23"/>
      <c r="G74" s="23"/>
      <c r="H74" s="23"/>
      <c r="I74" s="23"/>
      <c r="J74" s="23"/>
    </row>
    <row r="75" spans="1:10" ht="11.25" customHeight="1" x14ac:dyDescent="0.2">
      <c r="A75" s="19"/>
      <c r="B75" s="43" t="s">
        <v>466</v>
      </c>
      <c r="C75" s="56">
        <f>VLOOKUP(A3,Data!A1:AQ88,32,FALSE)</f>
        <v>0.84299999999999997</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t="str">
        <f>VLOOKUP(A3,Data!A1:AQ88,33,FALSE)</f>
        <v>NA</v>
      </c>
      <c r="C78" s="92" t="str">
        <f>IF(B78=0,"Does not meet prior year’s state performance and did not improve",
IF(B78=1,"Does not meet prior year’s state performance but improved since last year",
IF(B78=2,"Meets or exceeds prior year’s state performance",
IF(B78=3,"Meets or exceeds current state target",""))))</f>
        <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t="str">
        <f>VLOOKUP(A3,Data!A1:AQ88,34,FALSE)</f>
        <v>NA</v>
      </c>
      <c r="E82" s="23"/>
      <c r="F82" s="23"/>
      <c r="G82" s="23"/>
      <c r="H82" s="23"/>
      <c r="I82" s="23"/>
      <c r="J82" s="23"/>
    </row>
    <row r="83" spans="1:10" ht="11.25" customHeight="1" x14ac:dyDescent="0.2">
      <c r="A83" s="19"/>
      <c r="B83" s="43" t="s">
        <v>466</v>
      </c>
      <c r="C83" s="56" t="str">
        <f>VLOOKUP(A3,Data!A1:AQ88,35,FALSE)</f>
        <v>NA</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2</v>
      </c>
      <c r="C86" s="92" t="str">
        <f>IF(B86=0,"Does not meet prior year’s state performance and did not improve",
IF(B86=1,"Does not meet prior year’s state performance but improved since last year",
IF(B86=2,"Meets or exceeds prior year’s state performance",
IF(B86=3,"Meets or exceeds current state target",""))))</f>
        <v>Meets or exceeds prior year’s state performance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3.9300000000000002E-2</v>
      </c>
      <c r="E90" s="23"/>
      <c r="F90" s="23"/>
      <c r="G90" s="23"/>
      <c r="H90" s="23"/>
      <c r="I90" s="23"/>
      <c r="J90" s="23"/>
    </row>
    <row r="91" spans="1:10" ht="11.25" customHeight="1" x14ac:dyDescent="0.2">
      <c r="A91" s="19"/>
      <c r="B91" s="43" t="s">
        <v>466</v>
      </c>
      <c r="C91" s="56">
        <f>VLOOKUP(A3,Data!A1:AQ88,38,FALSE)</f>
        <v>0.11700000000000001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0</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and did not improve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0.224</v>
      </c>
      <c r="E98" s="23"/>
      <c r="F98" s="23"/>
      <c r="G98" s="23"/>
      <c r="H98" s="23"/>
      <c r="I98" s="23"/>
      <c r="J98" s="23"/>
    </row>
    <row r="99" spans="1:10" ht="11.25" customHeight="1" x14ac:dyDescent="0.2">
      <c r="A99" s="19"/>
      <c r="B99" s="43" t="s">
        <v>466</v>
      </c>
      <c r="C99" s="56">
        <f>VLOOKUP(A3,Data!A1:AQ88,41,FALSE)</f>
        <v>0.188</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14</v>
      </c>
      <c r="B104" s="99">
        <f>B101</f>
        <v>9</v>
      </c>
      <c r="C104" s="63">
        <f>VLOOKUP(A3,Data!A1:AQ88,42,FALSE)</f>
        <v>1</v>
      </c>
      <c r="D104" s="99">
        <f>SUM(A104:C104)</f>
        <v>24</v>
      </c>
      <c r="E104" s="63">
        <f>VLOOKUP(A3,Data!A1:AQ88,43,FALSE)</f>
        <v>35</v>
      </c>
      <c r="F104" s="33">
        <f>D104/E104</f>
        <v>0.68571428571428572</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uYlb9AsuqCwCgtodHNBKL8pb54frZItDCBigXlFtqH8XorI0y9lqOoo+8XyiqL0tAEexK2lsb0UmbXfcD3CeZg==" saltValue="WFKSO2uj/SRPki3b9aAKFA=="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t="s">
        <v>23</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58">
        <v>0.84870000000000001</v>
      </c>
      <c r="AF73" s="58">
        <v>0.84299999999999997</v>
      </c>
      <c r="AG73" s="59" t="s">
        <v>23</v>
      </c>
      <c r="AH73" s="58" t="s">
        <v>23</v>
      </c>
      <c r="AI73" s="58" t="s">
        <v>23</v>
      </c>
      <c r="AJ73" s="59">
        <v>2</v>
      </c>
      <c r="AK73" s="58">
        <v>3.9300000000000002E-2</v>
      </c>
      <c r="AL73" s="58">
        <v>0.11700000000000001</v>
      </c>
      <c r="AM73" s="59">
        <v>0</v>
      </c>
      <c r="AN73" s="58">
        <v>0.224</v>
      </c>
      <c r="AO73" s="58">
        <v>0.188</v>
      </c>
      <c r="AP73" s="101">
        <v>1</v>
      </c>
      <c r="AQ73" s="4">
        <v>35</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uX69nCjm2TA9UGnGYz/MZ6sT9ks9FejRd9u1ioyfbDv+yYZBWNKLuvqfOoyL9CaMVkwSRbmRqSu3s3cAa+GiuA==" saltValue="3GiJ5gXYBt3mBYlIpy5nk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2023-10-05T16:36:33Z</dcterms:modified>
</cp:coreProperties>
</file>