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1C2E7DF8-3F44-4F46-A7D5-FCD21F22CA04}" xr6:coauthVersionLast="47" xr6:coauthVersionMax="47" xr10:uidLastSave="{00000000-0000-0000-0000-000000000000}"/>
  <workbookProtection workbookAlgorithmName="SHA-512" workbookHashValue="7TJsMSjr2hOB962397jJnPqSnb4CktZN3mPZ9Srfru0Rz88VFmDPEoITZLTwNGIX3TmmjJWlcEsA1019qJ4uSw==" workbookSaltValue="l1TGJVLdLh4UvaWmWrMKYQ=="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<sst xmlns="http://schemas.openxmlformats.org/spreadsheetml/2006/main" count="1777" uniqueCount="595">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</sst>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3.6999999999999998E-2</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0.48149999999999998</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0</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c:v>
                </c:pt>
                <c:pt idx="3">
                  <c:v>0</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c:v>
                </c:pt>
                <c:pt idx="3">
                  <c:v>6.9000000000000006E-2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c:v>
                </c:pt>
                <c:pt idx="3">
                  <c:v>3.6999999999999998E-2</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0</c:v>
                </c:pt>
                <c:pt idx="3">
                  <c:v>0</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c:v>
                </c:pt>
                <c:pt idx="3">
                  <c:v>0</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c:v>
                </c:pt>
                <c:pt idx="3">
                  <c:v>0</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0</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73</v>
      </c>
      <c r="B3" s="31"/>
      <c r="C3" s="31"/>
      <c r="D3" s="31"/>
      <c r="E3" s="31"/>
      <c r="F3" s="31"/>
      <c r="G3" s="31"/>
      <c r="H3" s="31"/>
      <c r="I3" s="31"/>
      <c r="J3" s="31"/>
      <c r="K3" s="31"/>
      <c r="L3" s="31"/>
      <c r="M3" s="31"/>
      <c r="N3" s="31"/>
      <c r="O3" s="5"/>
    </row>
    <row r="4" spans="1:20" s="4" customFormat="1" ht="11.25" x14ac:dyDescent="0.2">
      <c r="A4" s="4" t="str">
        <f>VLOOKUP(A3,Data!A:CN,2,FALSE)</f>
        <v>1735 Haviland Circle</v>
      </c>
      <c r="C4" s="7"/>
      <c r="E4" s="7"/>
      <c r="F4" s="7"/>
    </row>
    <row r="5" spans="1:20" s="4" customFormat="1" ht="11.25" x14ac:dyDescent="0.2">
      <c r="A5" s="4" t="str">
        <f>VLOOKUP(A3,Data!A:CN,3,FALSE)</f>
        <v>Columbia</v>
      </c>
      <c r="C5" s="7"/>
      <c r="E5" s="7"/>
      <c r="F5" s="7"/>
      <c r="G5" s="7" t="str">
        <f>VLOOKUP(A3,Data!A:CN,4,FALSE)</f>
        <v>SC</v>
      </c>
      <c r="H5" s="7"/>
      <c r="I5" s="7" t="str">
        <f>VLOOKUP(A3,Data!A:CN,5,FALSE)</f>
        <v>29210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t="str">
        <f>+VLOOKUP(A3,Data!A:CN,6,FALSE)</f>
        <v>NA</v>
      </c>
      <c r="H11" s="55" t="s">
        <v>1</v>
      </c>
      <c r="I11" s="6" t="str">
        <f t="shared" ref="I11" si="0">IF(OR(G11="NA",G11="**"),"NA",IF(G11&lt;C11,"Not Met","Met"))</f>
        <v>NA</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0.48149999999999998</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t="str">
        <f>+VLOOKUP(A3,Data!A:CN,8,FALSE)</f>
        <v>NA</v>
      </c>
      <c r="H19" s="55" t="s">
        <v>1</v>
      </c>
      <c r="I19" s="6" t="str">
        <f>IF(OR(G19="NA",G19="**"),"NA",IF(G19&lt;C19,"Not Met","Met"))</f>
        <v>NA</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t="str">
        <f>+VLOOKUP(A3,Data!A:CN,9,FALSE)</f>
        <v>NA</v>
      </c>
      <c r="H22" s="55" t="s">
        <v>1</v>
      </c>
      <c r="I22" s="6" t="str">
        <f>IF(OR(G22="NA",G22="**"),"NA",IF(G22&lt;C22,"Not Met","Met"))</f>
        <v>NA</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t="str">
        <f>+VLOOKUP(A3,Data!A:CN,10,FALSE)</f>
        <v>NA</v>
      </c>
      <c r="H25" s="55" t="s">
        <v>1</v>
      </c>
      <c r="I25" s="6" t="str">
        <f>IF(OR(G25="NA",G25="**"),"NA",IF(G25&lt;C25,"Not Met","Met"))</f>
        <v>NA</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t="str">
        <f>+VLOOKUP(A3,Data!A:CN,11,FALSE)</f>
        <v>NA</v>
      </c>
      <c r="H28" s="55" t="s">
        <v>1</v>
      </c>
      <c r="I28" s="6" t="str">
        <f>IF(OR(G28="NA",G28="**"),"NA",IF(G28&lt;C28,"Not Met","Met"))</f>
        <v>NA</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t="str">
        <f>+VLOOKUP(A3,Data!A:CN,12,FALSE)</f>
        <v>NA</v>
      </c>
      <c r="H31" s="55" t="s">
        <v>1</v>
      </c>
      <c r="I31" s="6" t="str">
        <f>IF(OR(G31="NA",G31="**"),"NA",IF(G31&lt;C31,"Not Met","Met"))</f>
        <v>NA</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t="str">
        <f>+VLOOKUP(A3,Data!A:CN,13,FALSE)</f>
        <v>NA</v>
      </c>
      <c r="H34" s="55" t="s">
        <v>1</v>
      </c>
      <c r="I34" s="6" t="str">
        <f>IF(OR(G34="NA",G34="**"),"NA",IF(G34&lt;C34,"Not Met","Met"))</f>
        <v>NA</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t="str">
        <f>+VLOOKUP(A3,Data!A:CN,14,FALSE)</f>
        <v>NA</v>
      </c>
      <c r="H37" s="55" t="s">
        <v>1</v>
      </c>
      <c r="I37" s="6" t="str">
        <f>IF(OR(G37="NA",G37="**"),"NA",IF(G37&lt;C37,"Not Met","Met"))</f>
        <v>NA</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t="str">
        <f>+VLOOKUP(A3,Data!A:CN,15,FALSE)</f>
        <v>NA</v>
      </c>
      <c r="H40" s="55" t="s">
        <v>1</v>
      </c>
      <c r="I40" s="6" t="str">
        <f>IF(OR(G40="NA",G40="**"),"NA",IF(G40&lt;C40,"Not Met","Met"))</f>
        <v>NA</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t="str">
        <f>+VLOOKUP(A3,Data!A:CN,16,FALSE)</f>
        <v>NA</v>
      </c>
      <c r="H43" s="55" t="s">
        <v>1</v>
      </c>
      <c r="I43" s="6" t="str">
        <f>IF(OR(G43="NA",G43="**"),"NA",IF(G43&lt;C43,"Not Met","Met"))</f>
        <v>NA</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t="str">
        <f>+VLOOKUP(A3,Data!A:CN,17,FALSE)</f>
        <v>NA</v>
      </c>
      <c r="H46" s="55" t="s">
        <v>1</v>
      </c>
      <c r="I46" s="6" t="str">
        <f>IF(OR(G46="NA",G46="**"),"NA",IF(G46&lt;C46,"Not Met","Met"))</f>
        <v>NA</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t="str">
        <f>+VLOOKUP(A3,Data!A:CN,18,FALSE)</f>
        <v>NA</v>
      </c>
      <c r="H49" s="55" t="s">
        <v>1</v>
      </c>
      <c r="I49" s="6" t="str">
        <f>IF(OR(G49="NA",G49="**"),"NA",IF(G49&lt;C49,"Not Met","Met"))</f>
        <v>NA</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t="str">
        <f>+VLOOKUP(A3,Data!A:CN,19,FALSE)</f>
        <v>NA</v>
      </c>
      <c r="H52" s="55" t="s">
        <v>1</v>
      </c>
      <c r="I52" s="6" t="str">
        <f>IF(OR(G52="NA",G52="**"),"NA",IF(G52&lt;C52,"Not Met","Met"))</f>
        <v>NA</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t="str">
        <f>+VLOOKUP(A3,Data!A:CN,20,FALSE)</f>
        <v>NA</v>
      </c>
      <c r="H55" s="55" t="s">
        <v>1</v>
      </c>
      <c r="I55" s="6" t="str">
        <f>IF(OR(G55="NA",G55="**"),"NA",IF(G55&lt;C55,"Not Met","Met"))</f>
        <v>NA</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t="str">
        <f>+VLOOKUP(A3,Data!A:CN,21,FALSE)</f>
        <v>NA</v>
      </c>
      <c r="H58" s="55" t="s">
        <v>1</v>
      </c>
      <c r="I58" s="6" t="str">
        <f>IF(OR(G58="NA",G58="**"),"NA",IF(G58&lt;C58,"Not Met","Met"))</f>
        <v>NA</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t="str">
        <f>+VLOOKUP(A3,Data!A:CN,22,FALSE)</f>
        <v>NA</v>
      </c>
      <c r="H61" s="55" t="s">
        <v>1</v>
      </c>
      <c r="I61" s="6" t="str">
        <f>IF(OR(G61="NA",G61="**"),"NA",IF(G61&lt;C61,"Not Met","Met"))</f>
        <v>NA</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t="str">
        <f>+VLOOKUP(A3,Data!A:CN,23,FALSE)</f>
        <v>NA</v>
      </c>
      <c r="H64" s="55" t="s">
        <v>1</v>
      </c>
      <c r="I64" s="6" t="str">
        <f>IF(OR(G64="NA",G64="**"),"NA",IF(G64&lt;C64,"Not Met","Met"))</f>
        <v>NA</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t="str">
        <f>+VLOOKUP(A3,Data!A:CN,24,FALSE)</f>
        <v>NA</v>
      </c>
      <c r="H67" s="55" t="s">
        <v>1</v>
      </c>
      <c r="I67" s="6" t="str">
        <f>IF(OR(G67="NA",G67="**"),"NA",IF(G67&lt;C67,"Not Met","Met"))</f>
        <v>NA</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t="str">
        <f>+VLOOKUP(A3,Data!A:CN,25,FALSE)</f>
        <v>NA</v>
      </c>
      <c r="H70" s="55" t="s">
        <v>1</v>
      </c>
      <c r="I70" s="6" t="str">
        <f>IF(OR(G70="NA",G70="**"),"NA",IF(G70&lt;C70,"Not Met","Met"))</f>
        <v>NA</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t="str">
        <f>+VLOOKUP(A3,Data!A:CN,26,FALSE)</f>
        <v>NA</v>
      </c>
      <c r="H73" s="55" t="s">
        <v>1</v>
      </c>
      <c r="I73" s="6" t="str">
        <f>IF(OR(G73="NA",G73="**"),"NA",IF(G73&gt;C73,"Not Met","Met"))</f>
        <v>NA</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t="str">
        <f>+VLOOKUP(A3,Data!A:CN,27,FALSE)</f>
        <v>NA</v>
      </c>
      <c r="H76" s="55" t="s">
        <v>1</v>
      </c>
      <c r="I76" s="6" t="str">
        <f>IF(OR(G76="NA",G76="**"),"NA",IF(G76&gt;C76,"Not Met","Met"))</f>
        <v>NA</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t="str">
        <f>+VLOOKUP(A3,Data!A:CN,28,FALSE)</f>
        <v>NA</v>
      </c>
      <c r="H79" s="55" t="s">
        <v>1</v>
      </c>
      <c r="I79" s="6" t="str">
        <f>IF(OR(G79="NA",G79="**"),"NA",IF(G79&gt;C79,"Not Met","Met"))</f>
        <v>NA</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t="str">
        <f>+VLOOKUP(A3,Data!A:CN,29,FALSE)</f>
        <v>NA</v>
      </c>
      <c r="H82" s="55" t="s">
        <v>1</v>
      </c>
      <c r="I82" s="6" t="str">
        <f>IF(OR(G82="NA",G82="**"),"NA",IF(G82&gt;C82,"Not Met","Met"))</f>
        <v>NA</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t="str">
        <f>+VLOOKUP(A3,Data!A:CN,30,FALSE)</f>
        <v>NA</v>
      </c>
      <c r="H85" s="55" t="s">
        <v>1</v>
      </c>
      <c r="I85" s="6" t="str">
        <f>IF(OR(G85="NA",G85="**"),"NA",IF(G85&gt;C85,"Not Met","Met"))</f>
        <v>NA</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t="str">
        <f>+VLOOKUP(A3,Data!A:CN,31,FALSE)</f>
        <v>NA</v>
      </c>
      <c r="H88" s="55" t="s">
        <v>1</v>
      </c>
      <c r="I88" s="6" t="str">
        <f>IF(OR(G88="NA",G88="**"),"NA",IF(G88&gt;C88,"Not Met","Met"))</f>
        <v>NA</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3.6999999999999998E-2</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0</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t="str">
        <f>+VLOOKUP(A3,Data!A:CN,37,FALSE)</f>
        <v>NA</v>
      </c>
      <c r="H109" s="55" t="s">
        <v>1</v>
      </c>
      <c r="I109" s="6" t="str">
        <f>IF(OR(G109="NA",G109="**"),"NA",IF(G109&lt;C109,"Not Met","Met"))</f>
        <v>NA</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t="str">
        <f>+VLOOKUP(A3,Data!A:CN,38,FALSE)</f>
        <v>NA</v>
      </c>
      <c r="H112" s="55" t="s">
        <v>1</v>
      </c>
      <c r="I112" s="6" t="str">
        <f>IF(OR(G112="NA",G112="**"),"NA",IF(G112&gt;C112,"Not Met","Met"))</f>
        <v>NA</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t="str">
        <f>+VLOOKUP(A3,Data!A:CN,39,FALSE)</f>
        <v>NA</v>
      </c>
      <c r="H115" s="55" t="s">
        <v>1</v>
      </c>
      <c r="I115" s="6" t="str">
        <f>IF(OR(G115="NA",G115="**"),"NA",IF(G115&gt;C115,"Not Met","Met"))</f>
        <v>NA</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t="str">
        <f>+VLOOKUP(A3,Data!A:CN,40,FALSE)</f>
        <v>NA</v>
      </c>
      <c r="H120" s="55" t="s">
        <v>1</v>
      </c>
      <c r="I120" s="6" t="str">
        <f t="shared" ref="I120:I162" si="3">IF(OR(G120="NA",G120="**"),"NA",IF(G120&lt;C120,"Not Met","Met"))</f>
        <v>NA</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t="str">
        <f>+VLOOKUP(A3,Data!A:CN,41,FALSE)</f>
        <v>NA</v>
      </c>
      <c r="H124" s="55" t="s">
        <v>1</v>
      </c>
      <c r="I124" s="6" t="str">
        <f t="shared" si="3"/>
        <v>NA</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t="str">
        <f>+VLOOKUP(A3,Data!A:CN,42,FALSE)</f>
        <v>NA</v>
      </c>
      <c r="H128" s="55" t="s">
        <v>1</v>
      </c>
      <c r="I128" s="6" t="str">
        <f t="shared" si="3"/>
        <v>NA</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t="str">
        <f>+VLOOKUP(A3,Data!A:CN,43,FALSE)</f>
        <v>NA</v>
      </c>
      <c r="H132" s="55" t="s">
        <v>1</v>
      </c>
      <c r="I132" s="6" t="str">
        <f t="shared" si="3"/>
        <v>NA</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t="str">
        <f>+VLOOKUP(A3,Data!A:CN,44,FALSE)</f>
        <v>NA</v>
      </c>
      <c r="H136" s="55" t="s">
        <v>1</v>
      </c>
      <c r="I136" s="6" t="str">
        <f t="shared" si="3"/>
        <v>NA</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t="str">
        <f>+VLOOKUP(A3,Data!A:CN,45,FALSE)</f>
        <v>NA</v>
      </c>
      <c r="H140" s="55" t="s">
        <v>1</v>
      </c>
      <c r="I140" s="6" t="str">
        <f t="shared" si="3"/>
        <v>NA</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t="str">
        <f>+VLOOKUP(A3,Data!A:CN,49,FALSE)</f>
        <v>NA</v>
      </c>
      <c r="H157" s="55" t="s">
        <v>1</v>
      </c>
      <c r="I157" s="6" t="str">
        <f>IF(OR(G157="NA",G157="**"),"NA",IF(G157&lt;C157,"Not Met","Met"))</f>
        <v>NA</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t="str">
        <f>+VLOOKUP(A3,Data!A:CN,50,FALSE)</f>
        <v>NA</v>
      </c>
      <c r="H162" s="55" t="s">
        <v>1</v>
      </c>
      <c r="I162" s="6" t="str">
        <f t="shared" si="3"/>
        <v>NA</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t="str">
        <f>+VLOOKUP(A3,Data!A:CN,52,FALSE)</f>
        <v>NA</v>
      </c>
      <c r="H171" s="55" t="s">
        <v>1</v>
      </c>
      <c r="I171" s="6" t="str">
        <f t="shared" ref="I171" si="6">IF(OR(G171="NA",G171="**"),"NA",IF(G171&lt;C171,"Not Met","Met"))</f>
        <v>NA</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t="str">
        <f>+VLOOKUP(A3,Data!A:CN,53,FALSE)</f>
        <v>NA</v>
      </c>
      <c r="H175" s="55" t="s">
        <v>1</v>
      </c>
      <c r="I175" s="6" t="str">
        <f>IF(OR(G175="NA",G175="**"),"NA",IF(G175&lt;C175,"Not Met","Met"))</f>
        <v>NA</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t="str">
        <f>+VLOOKUP(A3,Data!A:CN,54,FALSE)</f>
        <v>NA</v>
      </c>
      <c r="H179" s="55" t="s">
        <v>1</v>
      </c>
      <c r="I179" s="6" t="str">
        <f t="shared" ref="I179" si="7">IF(OR(G179="NA",G179="**"),"NA",IF(G179&lt;C179,"Not Met","Met"))</f>
        <v>NA</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duGZYtrv3JfGcpZ8BHKxijp2NDHbKsSrEieuN6CNCdyVc3VEkWTzJFKBs6UA5qej8eh3Da51Ped8ywawIZUY4w==" saltValue="AAeHAUtrDHDqgIoI0NqgF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73</v>
      </c>
      <c r="B3" s="31"/>
      <c r="C3" s="31"/>
      <c r="D3" s="31"/>
      <c r="E3" s="31"/>
      <c r="F3" s="31"/>
      <c r="G3" s="31"/>
      <c r="H3" s="5"/>
      <c r="I3" s="5"/>
      <c r="J3" s="5"/>
    </row>
    <row r="4" spans="1:10" x14ac:dyDescent="0.2">
      <c r="A4" s="4" t="str">
        <f>VLOOKUP(A3,Data!A:CN,2,FALSE)</f>
        <v>1735 Haviland Circle</v>
      </c>
    </row>
    <row r="5" spans="1:10" x14ac:dyDescent="0.2">
      <c r="A5" s="4" t="str">
        <f>VLOOKUP(A3,Data!A:CN,3,FALSE)</f>
        <v>Columbia</v>
      </c>
      <c r="C5" s="7" t="str">
        <f>VLOOKUP(A3,Data!A:CN,4,FALSE)</f>
        <v>SC</v>
      </c>
      <c r="D5" s="7" t="str">
        <f>VLOOKUP(A3,Data!A:CN,5,FALSE)</f>
        <v>29210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t="str">
        <f>VLOOKUP(A3,Data!A:CN,59,FALSE)</f>
        <v>NA</v>
      </c>
      <c r="C18" s="73" t="str">
        <f>IF(B18=0,"2 or more consecutive years of findings of non-compliance (current year and previous year(s))",
IF(B18=1,"Findings of non-compliance in the current year",
IF(B18=2,"No findings of non-compliance","")))</f>
        <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t="str">
        <f>VLOOKUP(A3,Data!A:CN,60,FALSE)</f>
        <v>NA</v>
      </c>
      <c r="C20" s="73" t="str">
        <f>IF(B20=0,"2 or more consecutive years of findings of non-compliance (current year and previous year(s))",
IF(B20=1,"Findings of non-compliance in the current year",
IF(B20=2,"No findings of non-compliance","")))</f>
        <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14</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t="str">
        <f>VLOOKUP(A3,Data!A:CN,65,FALSE)</f>
        <v>NA</v>
      </c>
      <c r="E34" s="18"/>
      <c r="F34" s="18"/>
      <c r="G34" s="18"/>
      <c r="H34" s="18"/>
      <c r="I34" s="18"/>
      <c r="J34" s="18"/>
    </row>
    <row r="35" spans="1:10" ht="11.25" customHeight="1" x14ac:dyDescent="0.2">
      <c r="A35" s="14"/>
      <c r="B35" s="37" t="s">
        <v>451</v>
      </c>
      <c r="C35" s="50">
        <f>VLOOKUP(A3,Data!A:CN,66,FALSE)</f>
        <v>6.9000000000000006E-2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t="str">
        <f>VLOOKUP(A3,Data!A:CN,67,FALSE)</f>
        <v>NA</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t="str">
        <f>VLOOKUP(A3,Data!A:CN,68,FALSE)</f>
        <v>NA</v>
      </c>
      <c r="E42" s="18"/>
      <c r="F42" s="18"/>
      <c r="G42" s="18"/>
      <c r="H42" s="18"/>
      <c r="I42" s="18"/>
      <c r="J42" s="18"/>
    </row>
    <row r="43" spans="1:10" ht="11.25" customHeight="1" x14ac:dyDescent="0.2">
      <c r="A43" s="14"/>
      <c r="B43" s="37" t="s">
        <v>451</v>
      </c>
      <c r="C43" s="50" t="str">
        <f>VLOOKUP(A3,Data!A:CN,69,FALSE)</f>
        <v>NA</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t="str">
        <f>VLOOKUP(A3,Data!A:CN,70,FALSE)</f>
        <v>NA</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t="str">
        <f>VLOOKUP(A3,Data!A:CN,71,FALSE)</f>
        <v>NA</v>
      </c>
      <c r="E50" s="18"/>
      <c r="F50" s="18"/>
      <c r="G50" s="18"/>
      <c r="H50" s="18"/>
      <c r="I50" s="18"/>
      <c r="J50" s="18"/>
    </row>
    <row r="51" spans="1:10" ht="11.25" customHeight="1" x14ac:dyDescent="0.2">
      <c r="A51" s="14"/>
      <c r="B51" s="37" t="s">
        <v>451</v>
      </c>
      <c r="C51" s="50" t="str">
        <f>VLOOKUP(A3,Data!A:CN,72,FALSE)</f>
        <v>NA</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t="str">
        <f>VLOOKUP(A3,Data!A:CN,73,FALSE)</f>
        <v>NA</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t="str">
        <f>VLOOKUP(A3,Data!A:CN,74,FALSE)</f>
        <v>NA</v>
      </c>
      <c r="E58" s="18"/>
      <c r="F58" s="18"/>
      <c r="G58" s="18"/>
      <c r="H58" s="18"/>
      <c r="I58" s="18"/>
      <c r="J58" s="18"/>
    </row>
    <row r="59" spans="1:10" ht="11.25" customHeight="1" x14ac:dyDescent="0.2">
      <c r="A59" s="14"/>
      <c r="B59" s="37" t="s">
        <v>451</v>
      </c>
      <c r="C59" s="50" t="str">
        <f>VLOOKUP(A3,Data!A:CN,75,FALSE)</f>
        <v>NA</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t="str">
        <f>VLOOKUP(A3,Data!A:CN,76,FALSE)</f>
        <v>NA</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t="str">
        <f>VLOOKUP(A3,Data!A:CN,77,FALSE)</f>
        <v>NA</v>
      </c>
      <c r="E66" s="18"/>
      <c r="F66" s="18"/>
      <c r="G66" s="18"/>
      <c r="H66" s="18"/>
      <c r="I66" s="18"/>
      <c r="J66" s="18"/>
    </row>
    <row r="67" spans="1:10" ht="11.25" customHeight="1" x14ac:dyDescent="0.2">
      <c r="A67" s="14"/>
      <c r="B67" s="37" t="s">
        <v>451</v>
      </c>
      <c r="C67" s="50" t="str">
        <f>VLOOKUP(A3,Data!A:CN,78,FALSE)</f>
        <v>NA</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t="str">
        <f>VLOOKUP(A3,Data!A:CN,80,FALSE)</f>
        <v>NA</v>
      </c>
      <c r="E74" s="18"/>
      <c r="F74" s="18"/>
      <c r="G74" s="18"/>
      <c r="H74" s="18"/>
      <c r="I74" s="18"/>
      <c r="J74" s="18"/>
    </row>
    <row r="75" spans="1:10" ht="11.25" customHeight="1" x14ac:dyDescent="0.2">
      <c r="A75" s="14"/>
      <c r="B75" s="37" t="s">
        <v>451</v>
      </c>
      <c r="C75" s="50">
        <f>VLOOKUP(A3,Data!A:CN,81,FALSE)</f>
        <v>3.6999999999999998E-2</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t="str">
        <f>VLOOKUP(A3,Data!A:CN,82,FALSE)</f>
        <v>NA</v>
      </c>
      <c r="C78" s="73" t="str">
        <f>IF(B78=0,"Does not meet prior year’s state performance and did not improve",
IF(B78=1,"Does not meet prior year’s state performance but improved since last year",
IF(B78=2,"Meets or exceeds current year’s state performance",
IF(B78=3,"Meets or exceeds current state target",""))))</f>
        <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t="str">
        <f>VLOOKUP(A3,Data!A:CN,83,FALSE)</f>
        <v>NA</v>
      </c>
      <c r="E82" s="18"/>
      <c r="F82" s="18"/>
      <c r="G82" s="18"/>
      <c r="H82" s="18"/>
      <c r="I82" s="18"/>
      <c r="J82" s="18"/>
    </row>
    <row r="83" spans="1:10" ht="11.25" customHeight="1" x14ac:dyDescent="0.2">
      <c r="A83" s="14"/>
      <c r="B83" s="37" t="s">
        <v>451</v>
      </c>
      <c r="C83" s="50" t="str">
        <f>VLOOKUP(A3,Data!A:CN,84,FALSE)</f>
        <v>NA</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3</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state target</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t="str">
        <f>VLOOKUP(A3,Data!A:CN,86,FALSE)</f>
        <v>NA</v>
      </c>
      <c r="E90" s="18"/>
      <c r="F90" s="18"/>
      <c r="G90" s="18"/>
      <c r="H90" s="18"/>
      <c r="I90" s="18"/>
      <c r="J90" s="18"/>
    </row>
    <row r="91" spans="1:10" ht="11.25" customHeight="1" x14ac:dyDescent="0.2">
      <c r="A91" s="14"/>
      <c r="B91" s="37" t="s">
        <v>451</v>
      </c>
      <c r="C91" s="50">
        <f>VLOOKUP(A3,Data!A:CN,87,FALSE)</f>
        <v>0</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t="str">
        <f>VLOOKUP(A3,Data!A:CN,89,FALSE)</f>
        <v>NA</v>
      </c>
      <c r="E98" s="18"/>
      <c r="F98" s="18"/>
      <c r="G98" s="18"/>
      <c r="H98" s="18"/>
      <c r="I98" s="18"/>
      <c r="J98" s="18"/>
    </row>
    <row r="99" spans="1:10" ht="11.25" customHeight="1" x14ac:dyDescent="0.2">
      <c r="A99" s="14"/>
      <c r="B99" s="37" t="s">
        <v>451</v>
      </c>
      <c r="C99" s="50">
        <f>VLOOKUP(A3,Data!A:CN,90,FALSE)</f>
        <v>0</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14</v>
      </c>
      <c r="B104" s="79">
        <f>B101</f>
        <v>5</v>
      </c>
      <c r="C104" s="52">
        <f>VLOOKUP(A3,Data!A:CN,91,FALSE) + 1</f>
        <v>1</v>
      </c>
      <c r="D104" s="79">
        <f>SUM(A104:C104)</f>
        <v>20</v>
      </c>
      <c r="E104" s="52">
        <f>VLOOKUP(A3,Data!A:CN,92,FALSE)</f>
        <v>27</v>
      </c>
      <c r="F104" s="28">
        <f>D104/E104</f>
        <v>0.7407407407407407</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TKvPE6PoohxjS/cS3kKo9JdsPuXQ908LFPcjrZ/Fnky9I42ioYStp9bgzJakxd45OcNrkQ+LI05fCzfsY378hg==" saltValue="hTbqZRa4GnjNJoEKhhzdm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2024-05-21T12:07:11Z</dcterms:modified>
</cp:coreProperties>
</file>