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435D10FE-143B-48A9-9EDB-D6704CF51488}" xr6:coauthVersionLast="47" xr6:coauthVersionMax="47" xr10:uidLastSave="{00000000-0000-0000-0000-000000000000}"/>
  <workbookProtection workbookAlgorithmName="SHA-512" workbookHashValue="ajIzIv5YZR+JTOghQJRjuv7gQSgAESDRAR0GhNyMAL2NW/nznFmTnZ46D/SXF8D2lW27pDLKoFTLsdXEsi/z6g==" workbookSaltValue="ASpV2G/HRtmbk0TwOYPMcQ=="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<sst xmlns="http://schemas.openxmlformats.org/spreadsheetml/2006/main" count="1777" uniqueCount="595">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</sst>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0.1489</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0.30769999999999997</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0.93330000000000002</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0.99450000000000005</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0.93959999999999999</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0.99390000000000001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0.91069999999999995</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0.34079999999999999</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0.18010000000000001</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0.65710000000000002</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0.85109999999999997</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0.2167</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6.25E-2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0.4052</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1</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1</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1</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0.25940000000000002</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0.43259999999999998</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0.23630000000000001</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0.24610000000000001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0.29599999999999999</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0.2195</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0.84379999999999999</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1.9800000000000002E-2</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0.96860000000000002</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0.4783</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0.86960000000000004</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0.52170000000000005</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0.91300000000000003</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0.72219999999999995</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0.32040000000000002</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0.63109999999999999</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2.5899999999999999E-2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0.21640000000000001</c:v>
                </c:pt>
                <c:pt idx="3">
                  <c:v>0.34810000000000002</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0.63109999999999999</c:v>
                </c:pt>
                <c:pt idx="3">
                  <c:v>0.63160000000000005</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0.15790000000000001</c:v>
                </c:pt>
                <c:pt idx="3">
                  <c:v>0.21429999999999999</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0.84299999999999997</c:v>
                </c:pt>
                <c:pt idx="3">
                  <c:v>0.84379999999999999</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0.30769999999999997</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0</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0.11700000000000001</c:v>
                </c:pt>
                <c:pt idx="3">
                  <c:v>0.12520000000000001</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0.188</c:v>
                </c:pt>
                <c:pt idx="3">
                  <c:v>0.217</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0.13819999999999999</c:v>
                </c:pt>
                <c:pt idx="3">
                  <c:v>0.19020000000000001</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5.1900000000000002E-2</c:v>
                </c:pt>
                <c:pt idx="3">
                  <c:v>7.4099999999999999E-2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0.66669999999999996</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0.34620000000000001</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0.52629999999999999</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263</v>
      </c>
      <c r="B3" s="31"/>
      <c r="C3" s="31"/>
      <c r="D3" s="31"/>
      <c r="E3" s="31"/>
      <c r="F3" s="31"/>
      <c r="G3" s="31"/>
      <c r="H3" s="31"/>
      <c r="I3" s="31"/>
      <c r="J3" s="31"/>
      <c r="K3" s="31"/>
      <c r="L3" s="31"/>
      <c r="M3" s="31"/>
      <c r="N3" s="31"/>
      <c r="O3" s="5"/>
    </row>
    <row r="4" spans="1:20" s="4" customFormat="1" ht="11.25" x14ac:dyDescent="0.2">
      <c r="A4" s="4" t="str">
        <f>VLOOKUP(A3,Data!A:CN,2,FALSE)</f>
        <v>1824 Barnwell Street</v>
      </c>
      <c r="C4" s="7"/>
      <c r="E4" s="7"/>
      <c r="F4" s="7"/>
    </row>
    <row r="5" spans="1:20" s="4" customFormat="1" ht="11.25" x14ac:dyDescent="0.2">
      <c r="A5" s="4" t="str">
        <f>VLOOKUP(A3,Data!A:CN,3,FALSE)</f>
        <v>Columbia</v>
      </c>
      <c r="C5" s="7"/>
      <c r="E5" s="7"/>
      <c r="F5" s="7"/>
      <c r="G5" s="7" t="str">
        <f>VLOOKUP(A3,Data!A:CN,4,FALSE)</f>
        <v>SC</v>
      </c>
      <c r="H5" s="7"/>
      <c r="I5" s="7" t="str">
        <f>VLOOKUP(A3,Data!A:CN,5,FALSE)</f>
        <v>29201</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0.63109999999999999</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0.32040000000000002</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0.99450000000000005</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1</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0.93959999999999999</v>
      </c>
      <c r="H25" s="55" t="s">
        <v>1</v>
      </c>
      <c r="I25" s="6" t="str">
        <f>IF(OR(G25="NA",G25="**"),"NA",IF(G25&lt;C25,"Not Met","Met"))</f>
        <v>Not 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0.99390000000000001</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0.91069999999999995</v>
      </c>
      <c r="H34" s="55" t="s">
        <v>1</v>
      </c>
      <c r="I34" s="6" t="str">
        <f>IF(OR(G34="NA",G34="**"),"NA",IF(G34&lt;C34,"Not Met","Met"))</f>
        <v>Not 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0.34079999999999999</v>
      </c>
      <c r="H37" s="55" t="s">
        <v>1</v>
      </c>
      <c r="I37" s="6" t="str">
        <f>IF(OR(G37="NA",G37="**"),"NA",IF(G37&lt;C37,"Not Met","Met"))</f>
        <v>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0.18010000000000001</v>
      </c>
      <c r="H40" s="55" t="s">
        <v>1</v>
      </c>
      <c r="I40" s="6" t="str">
        <f>IF(OR(G40="NA",G40="**"),"NA",IF(G40&lt;C40,"Not Met","Met"))</f>
        <v>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0.65710000000000002</v>
      </c>
      <c r="H43" s="55" t="s">
        <v>1</v>
      </c>
      <c r="I43" s="6" t="str">
        <f>IF(OR(G43="NA",G43="**"),"NA",IF(G43&lt;C43,"Not Met","Met"))</f>
        <v>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0.2167</v>
      </c>
      <c r="H46" s="55" t="s">
        <v>1</v>
      </c>
      <c r="I46" s="6" t="str">
        <f>IF(OR(G46="NA",G46="**"),"NA",IF(G46&lt;C46,"Not Met","Met"))</f>
        <v>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6.25E-2</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0.4052</v>
      </c>
      <c r="H52" s="55" t="s">
        <v>1</v>
      </c>
      <c r="I52" s="6" t="str">
        <f>IF(OR(G52="NA",G52="**"),"NA",IF(G52&lt;C52,"Not Met","Met"))</f>
        <v>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1</v>
      </c>
      <c r="H55" s="55" t="s">
        <v>1</v>
      </c>
      <c r="I55" s="6" t="str">
        <f>IF(OR(G55="NA",G55="**"),"NA",IF(G55&lt;C55,"Not Met","Met"))</f>
        <v>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1</v>
      </c>
      <c r="H58" s="55" t="s">
        <v>1</v>
      </c>
      <c r="I58" s="6" t="str">
        <f>IF(OR(G58="NA",G58="**"),"NA",IF(G58&lt;C58,"Not Met","Met"))</f>
        <v>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1</v>
      </c>
      <c r="H67" s="55" t="s">
        <v>1</v>
      </c>
      <c r="I67" s="6" t="str">
        <f>IF(OR(G67="NA",G67="**"),"NA",IF(G67&lt;C67,"Not Met","Met"))</f>
        <v>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0.25940000000000002</v>
      </c>
      <c r="H73" s="55" t="s">
        <v>1</v>
      </c>
      <c r="I73" s="6" t="str">
        <f>IF(OR(G73="NA",G73="**"),"NA",IF(G73&gt;C73,"Not Met","Met"))</f>
        <v>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0.43259999999999998</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0.23630000000000001</v>
      </c>
      <c r="H79" s="55" t="s">
        <v>1</v>
      </c>
      <c r="I79" s="6" t="str">
        <f>IF(OR(G79="NA",G79="**"),"NA",IF(G79&gt;C79,"Not Met","Met"))</f>
        <v>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0.24610000000000001</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0.29599999999999999</v>
      </c>
      <c r="H85" s="55" t="s">
        <v>1</v>
      </c>
      <c r="I85" s="6" t="str">
        <f>IF(OR(G85="NA",G85="**"),"NA",IF(G85&gt;C85,"Not Met","Met"))</f>
        <v>Not 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0.2195</v>
      </c>
      <c r="H88" s="55" t="s">
        <v>1</v>
      </c>
      <c r="I88" s="6" t="str">
        <f>IF(OR(G88="NA",G88="**"),"NA",IF(G88&gt;C88,"Not Met","Met"))</f>
        <v>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0.84379999999999999</v>
      </c>
      <c r="H99" s="55" t="s">
        <v>1</v>
      </c>
      <c r="I99" s="6" t="str">
        <f t="shared" ref="I99" si="2">IF(OR(G99="NA",G99="**"),"NA",IF(G99&lt;C99,"Not Met","Met"))</f>
        <v>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1.9800000000000002E-2</v>
      </c>
      <c r="H102" s="55" t="s">
        <v>1</v>
      </c>
      <c r="I102" s="6" t="str">
        <f>IF(OR(G102="NA",G102="**"),"NA",IF(G102&gt;C102,"Not Met","Met"))</f>
        <v>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2.5899999999999999E-2</v>
      </c>
      <c r="H105" s="55" t="s">
        <v>1</v>
      </c>
      <c r="I105" s="6" t="str">
        <f>IF(OR(G105="NA",G105="**"),"NA",IF(G105&gt;C105,"Not Met","Met"))</f>
        <v>Not 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0.1489</v>
      </c>
      <c r="H109" s="55" t="s">
        <v>1</v>
      </c>
      <c r="I109" s="6" t="str">
        <f>IF(OR(G109="NA",G109="**"),"NA",IF(G109&lt;C109,"Not Met","Met"))</f>
        <v>Not 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0.85109999999999997</v>
      </c>
      <c r="H112" s="55" t="s">
        <v>1</v>
      </c>
      <c r="I112" s="6" t="str">
        <f>IF(OR(G112="NA",G112="**"),"NA",IF(G112&gt;C112,"Not Met","Met"))</f>
        <v>Not 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0.52170000000000005</v>
      </c>
      <c r="H120" s="55" t="s">
        <v>1</v>
      </c>
      <c r="I120" s="6" t="str">
        <f t="shared" ref="I120:I162" si="3">IF(OR(G120="NA",G120="**"),"NA",IF(G120&lt;C120,"Not Met","Met"))</f>
        <v>Not 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0.30769999999999997</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0.66669999999999996</v>
      </c>
      <c r="H128" s="55" t="s">
        <v>1</v>
      </c>
      <c r="I128" s="6" t="str">
        <f t="shared" si="3"/>
        <v>Not 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0.34620000000000001</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0.52629999999999999</v>
      </c>
      <c r="H136" s="55" t="s">
        <v>1</v>
      </c>
      <c r="I136" s="6" t="str">
        <f t="shared" si="3"/>
        <v>Not 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0.30769999999999997</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0.93330000000000002</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0.96860000000000002</v>
      </c>
      <c r="H157" s="55" t="s">
        <v>1</v>
      </c>
      <c r="I157" s="6" t="str">
        <f>IF(OR(G157="NA",G157="**"),"NA",IF(G157&lt;C157,"Not Met","Met"))</f>
        <v>Not 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0.72219999999999995</v>
      </c>
      <c r="H166" s="55" t="s">
        <v>1</v>
      </c>
      <c r="I166" s="6" t="str">
        <f t="shared" ref="I166" si="5">IF(OR(G166="NA",G166="**"),"NA",IF(G166&lt;C166,"Not Met","Met"))</f>
        <v>Not 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0.4783</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0.86960000000000004</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0.91300000000000003</v>
      </c>
      <c r="H179" s="55" t="s">
        <v>1</v>
      </c>
      <c r="I179" s="6" t="str">
        <f t="shared" ref="I179" si="7">IF(OR(G179="NA",G179="**"),"NA",IF(G179&lt;C179,"Not Met","Met"))</f>
        <v>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JdfJ7/+rXQDjYghxzWQsIlUiPObL8UOIbEoaOBaOvzZ5pyu2YyuXV8KS7LTMqZmqc/v2GBi5VCVRDAqHKAPvqA==" saltValue="px2nNzrv0DYCpS/ckyPc+A=="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263</v>
      </c>
      <c r="B3" s="31"/>
      <c r="C3" s="31"/>
      <c r="D3" s="31"/>
      <c r="E3" s="31"/>
      <c r="F3" s="31"/>
      <c r="G3" s="31"/>
      <c r="H3" s="5"/>
      <c r="I3" s="5"/>
      <c r="J3" s="5"/>
    </row>
    <row r="4" spans="1:10" x14ac:dyDescent="0.2">
      <c r="A4" s="4" t="str">
        <f>VLOOKUP(A3,Data!A:CN,2,FALSE)</f>
        <v>1824 Barnwell Street</v>
      </c>
    </row>
    <row r="5" spans="1:10" x14ac:dyDescent="0.2">
      <c r="A5" s="4" t="str">
        <f>VLOOKUP(A3,Data!A:CN,3,FALSE)</f>
        <v>Columbia</v>
      </c>
      <c r="C5" s="7" t="str">
        <f>VLOOKUP(A3,Data!A:CN,4,FALSE)</f>
        <v>SC</v>
      </c>
      <c r="D5" s="7" t="str">
        <f>VLOOKUP(A3,Data!A:CN,5,FALSE)</f>
        <v>29201</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1</v>
      </c>
      <c r="C18" s="73" t="str">
        <f>IF(B18=0,"2 or more consecutive years of findings of non-compliance (current year and previous year(s))",
IF(B18=1,"Findings of non-compliance in the current year",
IF(B18=2,"No findings of non-compliance","")))</f>
        <v>Findings of non-compliance in the current year</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17</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2</v>
      </c>
      <c r="C30" s="73" t="str">
        <f>IF(B30=0,"Does not meet prior year’s state performance and did not improve",
IF(B30=1,"Does not meet prior year’s state performance but improved since last year",
IF(B30=2,"Meets or exceeds current year’s state performance",
IF(B30=3,"Meets or exceeds current state target",""))))</f>
        <v>Meets or exceeds current year’s state performance</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0.63109999999999999</v>
      </c>
      <c r="E34" s="18"/>
      <c r="F34" s="18"/>
      <c r="G34" s="18"/>
      <c r="H34" s="18"/>
      <c r="I34" s="18"/>
      <c r="J34" s="18"/>
    </row>
    <row r="35" spans="1:10" ht="11.25" customHeight="1" x14ac:dyDescent="0.2">
      <c r="A35" s="14"/>
      <c r="B35" s="37" t="s">
        <v>451</v>
      </c>
      <c r="C35" s="50">
        <f>VLOOKUP(A3,Data!A:CN,66,FALSE)</f>
        <v>0.63160000000000005</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1.5</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Meets or exceeds current state target</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0.21640000000000001</v>
      </c>
      <c r="E42" s="18"/>
      <c r="F42" s="18"/>
      <c r="G42" s="18"/>
      <c r="H42" s="18"/>
      <c r="I42" s="18"/>
      <c r="J42" s="18"/>
    </row>
    <row r="43" spans="1:10" ht="11.25" customHeight="1" x14ac:dyDescent="0.2">
      <c r="A43" s="14"/>
      <c r="B43" s="37" t="s">
        <v>451</v>
      </c>
      <c r="C43" s="50">
        <f>VLOOKUP(A3,Data!A:CN,69,FALSE)</f>
        <v>0.34810000000000002</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1.5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Meets or exceeds current state target</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0.13819999999999999</v>
      </c>
      <c r="E50" s="18"/>
      <c r="F50" s="18"/>
      <c r="G50" s="18"/>
      <c r="H50" s="18"/>
      <c r="I50" s="18"/>
      <c r="J50" s="18"/>
    </row>
    <row r="51" spans="1:10" ht="11.25" customHeight="1" x14ac:dyDescent="0.2">
      <c r="A51" s="14"/>
      <c r="B51" s="37" t="s">
        <v>451</v>
      </c>
      <c r="C51" s="50">
        <f>VLOOKUP(A3,Data!A:CN,72,FALSE)</f>
        <v>0.19020000000000001</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1</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Meets or exceeds current year’s state performance</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0.15790000000000001</v>
      </c>
      <c r="E58" s="18"/>
      <c r="F58" s="18"/>
      <c r="G58" s="18"/>
      <c r="H58" s="18"/>
      <c r="I58" s="18"/>
      <c r="J58" s="18"/>
    </row>
    <row r="59" spans="1:10" ht="11.25" customHeight="1" x14ac:dyDescent="0.2">
      <c r="A59" s="14"/>
      <c r="B59" s="37" t="s">
        <v>451</v>
      </c>
      <c r="C59" s="50">
        <f>VLOOKUP(A3,Data!A:CN,75,FALSE)</f>
        <v>0.21429999999999999</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1</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Meets or exceeds current year’s state performance</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5.1900000000000002E-2</v>
      </c>
      <c r="E66" s="18"/>
      <c r="F66" s="18"/>
      <c r="G66" s="18"/>
      <c r="H66" s="18"/>
      <c r="I66" s="18"/>
      <c r="J66" s="18"/>
    </row>
    <row r="67" spans="1:10" ht="11.25" customHeight="1" x14ac:dyDescent="0.2">
      <c r="A67" s="14"/>
      <c r="B67" s="37" t="s">
        <v>451</v>
      </c>
      <c r="C67" s="50">
        <f>VLOOKUP(A3,Data!A:CN,78,FALSE)</f>
        <v>7.4099999999999999E-2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3</v>
      </c>
      <c r="C70" s="73" t="str">
        <f>IF(B70=0,"Does not meet prior year’s state performance and did not improve",
IF(B70=1,"Does not meet prior year’s state performance but improved since last year",
IF(B70=2,"Meets or exceeds current year’s state performance",
IF(B70=3,"Meets or exceeds current state target",""))))</f>
        <v>Meets or exceeds current state target</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0.84299999999999997</v>
      </c>
      <c r="E74" s="18"/>
      <c r="F74" s="18"/>
      <c r="G74" s="18"/>
      <c r="H74" s="18"/>
      <c r="I74" s="18"/>
      <c r="J74" s="18"/>
    </row>
    <row r="75" spans="1:10" ht="11.25" customHeight="1" x14ac:dyDescent="0.2">
      <c r="A75" s="14"/>
      <c r="B75" s="37" t="s">
        <v>451</v>
      </c>
      <c r="C75" s="50">
        <f>VLOOKUP(A3,Data!A:CN,81,FALSE)</f>
        <v>0.84379999999999999</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t="str">
        <f>VLOOKUP(A3,Data!A:CN,83,FALSE)</f>
        <v>NA</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2</v>
      </c>
      <c r="C86" s="73" t="str">
        <f>IF(B86=0,"Does not meet prior year’s state performance and did not improve",
IF(B86=1,"Does not meet prior year’s state performance but improved since last year",
IF(B86=2,"Meets or exceeds current year’s state performance",
IF(B86=3,"Meets or exceeds current state target",""))))</f>
        <v>Meets or exceeds current year’s state performance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0.11700000000000001</v>
      </c>
      <c r="E90" s="18"/>
      <c r="F90" s="18"/>
      <c r="G90" s="18"/>
      <c r="H90" s="18"/>
      <c r="I90" s="18"/>
      <c r="J90" s="18"/>
    </row>
    <row r="91" spans="1:10" ht="11.25" customHeight="1" x14ac:dyDescent="0.2">
      <c r="A91" s="14"/>
      <c r="B91" s="37" t="s">
        <v>451</v>
      </c>
      <c r="C91" s="50">
        <f>VLOOKUP(A3,Data!A:CN,87,FALSE)</f>
        <v>0.12520000000000001</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1</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but improved since last year</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0.188</v>
      </c>
      <c r="E98" s="18"/>
      <c r="F98" s="18"/>
      <c r="G98" s="18"/>
      <c r="H98" s="18"/>
      <c r="I98" s="18"/>
      <c r="J98" s="18"/>
    </row>
    <row r="99" spans="1:10" ht="11.25" customHeight="1" x14ac:dyDescent="0.2">
      <c r="A99" s="14"/>
      <c r="B99" s="37" t="s">
        <v>451</v>
      </c>
      <c r="C99" s="50">
        <f>VLOOKUP(A3,Data!A:CN,90,FALSE)</f>
        <v>0.217</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16</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17</v>
      </c>
      <c r="B104" s="79">
        <f>B101</f>
        <v>16</v>
      </c>
      <c r="C104" s="52">
        <f>VLOOKUP(A3,Data!A:CN,91,FALSE) + 1</f>
        <v>1</v>
      </c>
      <c r="D104" s="79">
        <f>SUM(A104:C104)</f>
        <v>34</v>
      </c>
      <c r="E104" s="52">
        <f>VLOOKUP(A3,Data!A:CN,92,FALSE)</f>
        <v>40</v>
      </c>
      <c r="F104" s="28">
        <f>D104/E104</f>
        <v>0.85</v>
      </c>
      <c r="G104" s="51" t="str">
        <f>IF(F104&gt;=0.8,"Meets Requirement",
IF(F104&gt;=0.6,"Needs Assistance",
IF(F104&gt;=0.3,"Needs Intervenion",
IF(F104&lt;0.3,"Needs Substantial Intervention","NA"))))</f>
        <v>Meets Requirement</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dxjeFLSE2+1WM2arzOAxZHLDc/nX2+lkkyqbIV0JShFM0UQTvyPGVpcAA2AXs/0LF0478wIet2zUdfPUPEqXKA==" saltValue="lAeqVY/kFA2lhaQpxIddCA=="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2024-05-21T12:07:15Z</dcterms:modified>
</cp:coreProperties>
</file>